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12 Diciembre\"/>
    </mc:Choice>
  </mc:AlternateContent>
  <xr:revisionPtr revIDLastSave="0" documentId="13_ncr:1_{3C34CEFC-02CE-49F2-8D4B-13C6AD3D83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F57" i="1"/>
  <c r="H57" i="1"/>
  <c r="E57" i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<sst xmlns="http://schemas.openxmlformats.org/spreadsheetml/2006/main" count="308" uniqueCount="132">
  <si>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</si>
  <si>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</si>
  <si>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</si>
  <si>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</si>
  <si>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</si>
  <si>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</si>
  <si>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</si>
  <si>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</si>
  <si>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</si>
  <si>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</si>
  <si>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</si>
  <si>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</si>
  <si>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</si>
  <si>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</si>
  <si>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</si>
  <si>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</si>
  <si>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</si>
  <si>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</si>
  <si>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</si>
  <si>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</si>
  <si>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</si>
  <si>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</si>
  <si>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</si>
  <si>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</si>
  <si>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</si>
  <si>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</si>
  <si>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</si>
  <si>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</si>
  <si>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</si>
  <si>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</si>
  <si>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</si>
  <si>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</si>
  <si>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</si>
  <si>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</si>
  <si>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</si>
  <si>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</si>
  <si>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</si>
  <si>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</si>
  <si>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</si>
  <si>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</si>
  <si>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</si>
  <si>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</si>
  <si>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</si>
  <si>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</si>
  <si>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</si>
  <si>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</si>
  <si>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</si>
  <si>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</si>
  <si>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</si>
  <si>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</si>
  <si>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</si>
  <si>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</si>
  <si>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</si>
  <si>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</si>
  <si>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</si>
  <si>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</si>
  <si>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</si>
  <si>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</si>
  <si>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</si>
  <si>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</si>
  <si>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</si>
  <si>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</si>
  <si>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</si>
  <si>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</si>
  <si>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</si>
  <si>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</si>
  <si>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</si>
  <si>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</si>
  <si>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</si>
  <si>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</si>
  <si>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</si>
  <si>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</si>
  <si>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</si>
  <si>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</si>
  <si>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</si>
  <si>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</si>
  <si>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</si>
  <si>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</si>
  <si>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</si>
  <si>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</si>
  <si>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</si>
  <si>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</si>
  <si>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</si>
  <si>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</si>
  <si>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</si>
  <si>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</si>
  <si>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</si>
  <si>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</si>
  <si>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</si>
  <si>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</si>
  <si>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</si>
  <si>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</si>
  <si>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</si>
  <si>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</si>
  <si>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</si>
  <si>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</si>
  <si>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</si>
  <si>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</si>
  <si>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</si>
  <si>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</si>
  <si>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</si>
  <si>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</si>
  <si>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</si>
  <si>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</si>
  <si>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</si>
  <si>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</si>
  <si>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</si>
  <si>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</si>
  <si>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</si>
  <si>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</si>
  <si>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</si>
  <si>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</si>
  <si>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</si>
  <si>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</si>
  <si>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</si>
  <si>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</si>
  <si>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</si>
  <si>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</si>
  <si>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</si>
  <si>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</si>
  <si>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</si>
  <si>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</si>
  <si>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</si>
  <si>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</si>
  <si>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</si>
  <si>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NOVIEMBRE 2021</t>
  </si>
  <si>
    <t>Noviembre</t>
  </si>
  <si>
    <t>Enero - Noviembre</t>
  </si>
  <si>
    <t>Grafico N° 11: Generación de energía eléctrica por Región, al mes de noviembre 2021</t>
  </si>
  <si>
    <t>Cuadro N° 8: Producción de energía eléctrica nacional por zona del país, al mes de noviembre</t>
  </si>
  <si>
    <t>3.2 Producción de energía eléctrica (GWh) por origen y zona al mes de noviembre 2021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</si>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</sst>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6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63" xfId="0" applyNumberFormat="1" applyFont="1" applyFill="1" applyBorder="1" applyAlignment="1">
      <alignment vertical="center"/>
    </xf>
    <xf numFmtId="3" fontId="99" fillId="0" borderId="28" xfId="0" applyNumberFormat="1" applyFont="1" applyBorder="1"/>
    <xf numFmtId="3" fontId="99" fillId="0" borderId="60" xfId="0" applyNumberFormat="1" applyFont="1" applyBorder="1"/>
    <xf numFmtId="4" fontId="0" fillId="68" borderId="84" xfId="0" applyNumberFormat="1" applyFont="1" applyFill="1" applyBorder="1" applyAlignment="1">
      <alignment vertical="center"/>
    </xf>
    <xf numFmtId="178" fontId="96" fillId="68" borderId="32" xfId="33743" applyNumberFormat="1" applyFont="1" applyFill="1" applyBorder="1" applyAlignment="1">
      <alignment horizontal="center" vertical="center"/>
    </xf>
    <xf numFmtId="167" fontId="0" fillId="68" borderId="60" xfId="0" applyNumberFormat="1" applyFill="1" applyBorder="1"/>
    <xf numFmtId="167" fontId="0" fillId="68" borderId="82" xfId="0" applyNumberFormat="1" applyFill="1" applyBorder="1"/>
    <xf numFmtId="182" fontId="99" fillId="0" borderId="78" xfId="0" applyNumberFormat="1" applyFont="1" applyBorder="1"/>
    <xf numFmtId="182" fontId="99" fillId="0" borderId="108" xfId="0" applyNumberFormat="1" applyFont="1" applyBorder="1"/>
    <xf numFmtId="4" fontId="0" fillId="68" borderId="27" xfId="0" applyNumberFormat="1" applyFont="1" applyFill="1" applyBorder="1" applyAlignment="1">
      <alignment vertical="center"/>
    </xf>
    <xf numFmtId="9" fontId="96" fillId="0" borderId="32" xfId="33743" applyNumberFormat="1" applyFont="1" applyBorder="1" applyAlignment="1">
      <alignment horizontal="center"/>
    </xf>
    <xf numFmtId="178" fontId="96" fillId="68" borderId="34" xfId="33743" applyNumberFormat="1" applyFont="1" applyFill="1" applyBorder="1" applyAlignment="1">
      <alignment horizont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3" fontId="0" fillId="68" borderId="60" xfId="0" applyNumberFormat="1" applyFill="1" applyBorder="1"/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Noviembre 2021</a:t>
            </a:r>
          </a:p>
          <a:p>
            <a:pPr>
              <a:defRPr sz="800" b="1"/>
            </a:pPr>
            <a:r>
              <a:rPr lang="es-PE" sz="800" b="1"/>
              <a:t>Total : 4 800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45.502745681809571</c:v>
                </c:pt>
                <c:pt idx="1">
                  <c:v>101.28030490467293</c:v>
                </c:pt>
                <c:pt idx="2">
                  <c:v>2446.4578452882629</c:v>
                </c:pt>
                <c:pt idx="3">
                  <c:v>1970.3606976473118</c:v>
                </c:pt>
                <c:pt idx="4">
                  <c:v>236.05345148749996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2025.0709807184257</c:v>
                </c:pt>
                <c:pt idx="2" formatCode="_ * #,##0.00_ ;_ * \-#,##0.00_ ;_ * &quot;-&quot;??_ ;_ @_ ">
                  <c:v>6.4619999999999999E-3</c:v>
                </c:pt>
                <c:pt idx="3">
                  <c:v>1871.2551401403728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73.677827240000013</c:v>
                </c:pt>
                <c:pt idx="1">
                  <c:v>334.44012484012973</c:v>
                </c:pt>
                <c:pt idx="2">
                  <c:v>76.365946742499986</c:v>
                </c:pt>
                <c:pt idx="3">
                  <c:v>15.490757486988173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34.880059640000006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3896.3325828587986</c:v>
                </c:pt>
                <c:pt idx="1">
                  <c:v>499.9746563096179</c:v>
                </c:pt>
                <c:pt idx="2">
                  <c:v>368.46774620113922</c:v>
                </c:pt>
                <c:pt idx="3">
                  <c:v>34.880059640000006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HUANUCO</c:v>
                </c:pt>
                <c:pt idx="5">
                  <c:v>ANCASH</c:v>
                </c:pt>
                <c:pt idx="6">
                  <c:v>CUSCO</c:v>
                </c:pt>
                <c:pt idx="7">
                  <c:v>CAJAMARCA</c:v>
                </c:pt>
                <c:pt idx="8">
                  <c:v>PIURA</c:v>
                </c:pt>
                <c:pt idx="9">
                  <c:v>ICA</c:v>
                </c:pt>
                <c:pt idx="10">
                  <c:v>LA LIBERTAD</c:v>
                </c:pt>
                <c:pt idx="11">
                  <c:v>AREQUIPA</c:v>
                </c:pt>
                <c:pt idx="12">
                  <c:v>PASCO</c:v>
                </c:pt>
                <c:pt idx="13">
                  <c:v>MOQUEGUA</c:v>
                </c:pt>
                <c:pt idx="14">
                  <c:v>LORETO</c:v>
                </c:pt>
                <c:pt idx="15">
                  <c:v>PUNO</c:v>
                </c:pt>
                <c:pt idx="16">
                  <c:v>TACNA</c:v>
                </c:pt>
                <c:pt idx="17">
                  <c:v>UCAYALI</c:v>
                </c:pt>
                <c:pt idx="18">
                  <c:v>LAMBAYEQUE</c:v>
                </c:pt>
                <c:pt idx="19">
                  <c:v>AMAZONAS</c:v>
                </c:pt>
                <c:pt idx="20">
                  <c:v>SAN MARTÍN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2031.7689733146619</c:v>
                </c:pt>
                <c:pt idx="1">
                  <c:v>716.50062914510681</c:v>
                </c:pt>
                <c:pt idx="2">
                  <c:v>327.57502533947718</c:v>
                </c:pt>
                <c:pt idx="3">
                  <c:v>279.75802855403606</c:v>
                </c:pt>
                <c:pt idx="4">
                  <c:v>235.33598337463272</c:v>
                </c:pt>
                <c:pt idx="5">
                  <c:v>218.00846611820006</c:v>
                </c:pt>
                <c:pt idx="6">
                  <c:v>174.50307981166662</c:v>
                </c:pt>
                <c:pt idx="7">
                  <c:v>127.24438996199993</c:v>
                </c:pt>
                <c:pt idx="8">
                  <c:v>126.09716263833866</c:v>
                </c:pt>
                <c:pt idx="9">
                  <c:v>112.84369068916666</c:v>
                </c:pt>
                <c:pt idx="10">
                  <c:v>101.11677757763397</c:v>
                </c:pt>
                <c:pt idx="11">
                  <c:v>98.388631587951295</c:v>
                </c:pt>
                <c:pt idx="12">
                  <c:v>81.179088894350016</c:v>
                </c:pt>
                <c:pt idx="13">
                  <c:v>69.105008874999996</c:v>
                </c:pt>
                <c:pt idx="14">
                  <c:v>34.880059640000006</c:v>
                </c:pt>
                <c:pt idx="15">
                  <c:v>28.364133530000011</c:v>
                </c:pt>
                <c:pt idx="16">
                  <c:v>12.734823379999996</c:v>
                </c:pt>
                <c:pt idx="17">
                  <c:v>6.2063881183333329</c:v>
                </c:pt>
                <c:pt idx="18">
                  <c:v>5.005027079166668</c:v>
                </c:pt>
                <c:pt idx="19">
                  <c:v>4.5038409440000002</c:v>
                </c:pt>
                <c:pt idx="20">
                  <c:v>3.4</c:v>
                </c:pt>
                <c:pt idx="21">
                  <c:v>3.0658134000000001</c:v>
                </c:pt>
                <c:pt idx="22">
                  <c:v>1.1005480000000003</c:v>
                </c:pt>
                <c:pt idx="23">
                  <c:v>0.77914433333333344</c:v>
                </c:pt>
                <c:pt idx="24">
                  <c:v>0.1903307025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1851.7633676895532</c:v>
                </c:pt>
                <c:pt idx="1">
                  <c:v>2566.7593734208945</c:v>
                </c:pt>
                <c:pt idx="2">
                  <c:v>157.52374</c:v>
                </c:pt>
                <c:pt idx="3">
                  <c:v>81.518369000000007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2491.9605909700726</c:v>
                </c:pt>
                <c:pt idx="1">
                  <c:v>2071.6410025519849</c:v>
                </c:pt>
                <c:pt idx="2">
                  <c:v>159.68750474499998</c:v>
                </c:pt>
                <c:pt idx="3">
                  <c:v>76.365946742499986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157.28378626713643</c:v>
                </c:pt>
                <c:pt idx="1">
                  <c:v>153.16878006618916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4500.281063843312</c:v>
                </c:pt>
                <c:pt idx="1">
                  <c:v>4646.486264943368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1737.1626731670533</c:v>
                </c:pt>
                <c:pt idx="1">
                  <c:v>2295.4982527450729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2510.1370374208946</c:v>
                </c:pt>
                <c:pt idx="1">
                  <c:v>2022.3304910540189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114.60069452249995</c:v>
                </c:pt>
                <c:pt idx="1">
                  <c:v>196.46233822499971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295.664445</c:v>
                </c:pt>
                <c:pt idx="1">
                  <c:v>285.36396298546578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2491.9605909700726</c:v>
                </c:pt>
                <c:pt idx="1">
                  <c:v>1947.3425423988656</c:v>
                </c:pt>
                <c:pt idx="2">
                  <c:v>74.76767416383791</c:v>
                </c:pt>
                <c:pt idx="3">
                  <c:v>49.31051149796582</c:v>
                </c:pt>
                <c:pt idx="4">
                  <c:v>159.68750474499998</c:v>
                </c:pt>
                <c:pt idx="5">
                  <c:v>76.365946742499986</c:v>
                </c:pt>
                <c:pt idx="6" formatCode="#,##0.0">
                  <c:v>0.2202744913157052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4361.9004051104484</c:v>
                </c:pt>
                <c:pt idx="1">
                  <c:v>4514.2910820240913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3455004619E-2"/>
                  <c:y val="7.0606119226511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295.664445</c:v>
                </c:pt>
                <c:pt idx="1">
                  <c:v>285.36396298546578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69780653961158E-2"/>
                  <c:y val="-3.5285795421093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58280284038E-2"/>
                  <c:y val="3.3553621474176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6.3480478429192175E-2</c:v>
                </c:pt>
                <c:pt idx="1">
                  <c:v>5.9455098399659581E-2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1851.7633676895532</c:v>
                </c:pt>
                <c:pt idx="1">
                  <c:v>2425.4113430000002</c:v>
                </c:pt>
                <c:pt idx="2">
                  <c:v>84.52069442089487</c:v>
                </c:pt>
                <c:pt idx="3" formatCode="#,##0.00">
                  <c:v>0.20499999999999999</c:v>
                </c:pt>
                <c:pt idx="4">
                  <c:v>56.62233599999999</c:v>
                </c:pt>
                <c:pt idx="5">
                  <c:v>157.52374</c:v>
                </c:pt>
                <c:pt idx="6">
                  <c:v>81.518369000000007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2491.9605909700726</c:v>
                </c:pt>
                <c:pt idx="1">
                  <c:v>1947.3425423988656</c:v>
                </c:pt>
                <c:pt idx="2">
                  <c:v>74.76767416383791</c:v>
                </c:pt>
                <c:pt idx="3" formatCode="#,##0.00">
                  <c:v>0.2202744913157052</c:v>
                </c:pt>
                <c:pt idx="4">
                  <c:v>49.31051149796582</c:v>
                </c:pt>
                <c:pt idx="5">
                  <c:v>159.68750474499998</c:v>
                </c:pt>
                <c:pt idx="6">
                  <c:v>76.365946742499986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86.009677504999971</c:v>
                </c:pt>
                <c:pt idx="1">
                  <c:v>132.44948541151683</c:v>
                </c:pt>
                <c:pt idx="2">
                  <c:v>0</c:v>
                </c:pt>
                <c:pt idx="3">
                  <c:v>150.00858328462243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noviembre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3948" y="3313521"/>
          <a:ext cx="4118827" cy="5701542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tabSelected="1" view="pageBreakPreview" zoomScaleNormal="120" zoomScaleSheetLayoutView="100" workbookViewId="0">
      <selection activeCell="C3" sqref="C3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0"/>
      <c r="D8" s="130"/>
      <c r="E8" s="130"/>
      <c r="F8" s="130"/>
      <c r="G8" s="130"/>
      <c r="H8" s="9"/>
      <c r="I8" s="9"/>
      <c r="J8" s="9"/>
      <c r="K8" s="9"/>
    </row>
    <row r="9" spans="2:19" s="1" customFormat="1" ht="26.4">
      <c r="B9" s="8"/>
      <c r="C9" s="180" t="s">
        <v>62</v>
      </c>
      <c r="D9" s="181" t="s">
        <v>69</v>
      </c>
      <c r="E9" s="182" t="s">
        <v>70</v>
      </c>
      <c r="F9" s="183" t="s">
        <v>71</v>
      </c>
      <c r="G9" s="184" t="s">
        <v>72</v>
      </c>
      <c r="H9" s="9"/>
      <c r="I9" s="9"/>
      <c r="J9" s="9"/>
      <c r="K9" s="9"/>
    </row>
    <row r="10" spans="2:19" s="1" customFormat="1" ht="13.8" thickBot="1">
      <c r="B10" s="8"/>
      <c r="C10" s="185" t="s">
        <v>63</v>
      </c>
      <c r="D10" s="186"/>
      <c r="E10" s="187"/>
      <c r="F10" s="188"/>
      <c r="G10" s="189"/>
      <c r="H10" s="9"/>
      <c r="I10" s="9"/>
      <c r="J10" s="9"/>
      <c r="K10" s="9"/>
    </row>
    <row r="11" spans="2:19" s="1" customFormat="1" ht="13.8" thickTop="1">
      <c r="B11" s="8"/>
      <c r="C11" s="131"/>
      <c r="D11" s="132"/>
      <c r="E11" s="133"/>
      <c r="F11" s="134"/>
      <c r="G11" s="135"/>
      <c r="H11" s="9"/>
      <c r="I11" s="9"/>
      <c r="J11" s="9"/>
      <c r="K11" s="9"/>
      <c r="Q11" s="378" t="s">
        <v>64</v>
      </c>
      <c r="R11" s="145" t="s">
        <v>41</v>
      </c>
      <c r="S11" s="146">
        <f>E12</f>
        <v>45.502745681809571</v>
      </c>
    </row>
    <row r="12" spans="2:19" s="1" customFormat="1">
      <c r="B12" s="8"/>
      <c r="C12" s="136" t="s">
        <v>66</v>
      </c>
      <c r="D12" s="137">
        <v>2446.4578452882629</v>
      </c>
      <c r="E12" s="138">
        <v>45.502745681809571</v>
      </c>
      <c r="F12" s="139">
        <f>SUM(D12:E12)</f>
        <v>2491.9605909700726</v>
      </c>
      <c r="G12" s="337">
        <f>(F12/F$16)</f>
        <v>0.51919576877948537</v>
      </c>
      <c r="H12" s="9"/>
      <c r="I12" s="9"/>
      <c r="J12" s="9"/>
      <c r="K12" s="9"/>
      <c r="Q12" s="378"/>
      <c r="R12" s="145" t="s">
        <v>73</v>
      </c>
      <c r="S12" s="146">
        <f>E13</f>
        <v>101.28030490467293</v>
      </c>
    </row>
    <row r="13" spans="2:19" s="1" customFormat="1">
      <c r="B13" s="8"/>
      <c r="C13" s="136" t="s">
        <v>65</v>
      </c>
      <c r="D13" s="137">
        <v>1970.3606976473118</v>
      </c>
      <c r="E13" s="138">
        <v>101.28030490467293</v>
      </c>
      <c r="F13" s="139">
        <f>SUM(D13:E13)</f>
        <v>2071.6410025519849</v>
      </c>
      <c r="G13" s="337">
        <f>(F13/F$16)-0.0031</f>
        <v>0.42852289437987301</v>
      </c>
      <c r="H13" s="9"/>
      <c r="I13" s="9"/>
      <c r="J13" s="9"/>
      <c r="K13" s="9"/>
      <c r="Q13" s="378" t="s">
        <v>88</v>
      </c>
      <c r="R13" s="145" t="s">
        <v>41</v>
      </c>
      <c r="S13" s="146">
        <f>D12</f>
        <v>2446.4578452882629</v>
      </c>
    </row>
    <row r="14" spans="2:19" s="1" customFormat="1">
      <c r="B14" s="8"/>
      <c r="C14" s="136" t="s">
        <v>67</v>
      </c>
      <c r="D14" s="137">
        <v>159.68750474499998</v>
      </c>
      <c r="E14" s="140"/>
      <c r="F14" s="139">
        <f>SUM(D14:E14)</f>
        <v>159.68750474499998</v>
      </c>
      <c r="G14" s="337">
        <f>(F14/F$16)</f>
        <v>3.3270621169126539E-2</v>
      </c>
      <c r="H14" s="9"/>
      <c r="I14" s="9"/>
      <c r="J14" s="9"/>
      <c r="K14" s="9"/>
      <c r="Q14" s="378"/>
      <c r="R14" s="145" t="s">
        <v>73</v>
      </c>
      <c r="S14" s="146">
        <f>D13</f>
        <v>1970.3606976473118</v>
      </c>
    </row>
    <row r="15" spans="2:19" s="1" customFormat="1" ht="13.8" thickBot="1">
      <c r="B15" s="8"/>
      <c r="C15" s="141" t="s">
        <v>5</v>
      </c>
      <c r="D15" s="142">
        <v>76.365946742499986</v>
      </c>
      <c r="E15" s="143"/>
      <c r="F15" s="144">
        <f>SUM(D15:E15)</f>
        <v>76.365946742499986</v>
      </c>
      <c r="G15" s="338">
        <f>(F15/F$16)</f>
        <v>1.5910715671515082E-2</v>
      </c>
      <c r="H15" s="9"/>
      <c r="I15" s="9"/>
      <c r="J15" s="9"/>
      <c r="K15" s="9"/>
      <c r="Q15" s="378"/>
      <c r="R15" s="145" t="s">
        <v>87</v>
      </c>
      <c r="S15" s="146">
        <f>SUM(D14:D15)</f>
        <v>236.05345148749996</v>
      </c>
    </row>
    <row r="16" spans="2:19" s="1" customFormat="1" ht="13.8" thickTop="1">
      <c r="B16" s="8"/>
      <c r="C16" s="246" t="s">
        <v>71</v>
      </c>
      <c r="D16" s="247">
        <f>SUM(D12:D15)</f>
        <v>4652.8719944230743</v>
      </c>
      <c r="E16" s="248">
        <f>SUM(E12:E15)</f>
        <v>146.78305058648249</v>
      </c>
      <c r="F16" s="249">
        <f>SUM(F12:F15)</f>
        <v>4799.6550450095574</v>
      </c>
      <c r="G16" s="250"/>
      <c r="H16" s="9"/>
      <c r="I16" s="9"/>
      <c r="J16" s="9"/>
      <c r="K16" s="9"/>
    </row>
    <row r="17" spans="2:19" s="1" customFormat="1">
      <c r="B17" s="8"/>
      <c r="C17" s="251" t="s">
        <v>109</v>
      </c>
      <c r="D17" s="318">
        <f>D16/F16</f>
        <v>0.96941799999999978</v>
      </c>
      <c r="E17" s="319">
        <f>E16/F16</f>
        <v>3.0582000000000043E-2</v>
      </c>
      <c r="F17" s="252"/>
      <c r="G17" s="253"/>
      <c r="H17" s="9"/>
      <c r="I17" s="9"/>
      <c r="J17" s="9"/>
      <c r="K17" s="9"/>
    </row>
    <row r="18" spans="2:19" s="1" customFormat="1">
      <c r="B18" s="8"/>
      <c r="C18" s="131"/>
      <c r="D18" s="131"/>
      <c r="E18" s="131"/>
      <c r="F18" s="131"/>
      <c r="G18" s="131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1"/>
      <c r="D22" s="131"/>
      <c r="E22" s="131"/>
      <c r="F22" s="131"/>
      <c r="G22" s="131"/>
      <c r="H22" s="130"/>
      <c r="I22" s="130"/>
      <c r="J22" s="130"/>
      <c r="K22" s="9"/>
    </row>
    <row r="23" spans="2:19" s="1" customFormat="1" ht="12.75" customHeight="1">
      <c r="B23" s="8"/>
      <c r="C23" s="374" t="s">
        <v>112</v>
      </c>
      <c r="D23" s="375"/>
      <c r="E23" s="379" t="s">
        <v>126</v>
      </c>
      <c r="F23" s="380"/>
      <c r="G23" s="150" t="s">
        <v>74</v>
      </c>
      <c r="H23" s="381" t="s">
        <v>127</v>
      </c>
      <c r="I23" s="382"/>
      <c r="J23" s="150" t="s">
        <v>74</v>
      </c>
      <c r="K23" s="9"/>
      <c r="Q23" s="145"/>
      <c r="R23" s="145">
        <v>2020</v>
      </c>
      <c r="S23" s="145">
        <v>2021</v>
      </c>
    </row>
    <row r="24" spans="2:19" s="1" customFormat="1" ht="12.75" customHeight="1">
      <c r="B24" s="8"/>
      <c r="C24" s="151"/>
      <c r="D24" s="152"/>
      <c r="E24" s="153">
        <v>2020</v>
      </c>
      <c r="F24" s="154">
        <v>2021</v>
      </c>
      <c r="G24" s="155"/>
      <c r="H24" s="235">
        <v>2020</v>
      </c>
      <c r="I24" s="154">
        <v>2021</v>
      </c>
      <c r="J24" s="155"/>
      <c r="K24" s="9"/>
      <c r="Q24" s="145" t="s">
        <v>76</v>
      </c>
      <c r="R24" s="146">
        <f>E29</f>
        <v>157.28378626713643</v>
      </c>
      <c r="S24" s="146">
        <f>F29</f>
        <v>153.16878006618916</v>
      </c>
    </row>
    <row r="25" spans="2:19" s="1" customFormat="1">
      <c r="B25" s="8"/>
      <c r="C25" s="370" t="s">
        <v>0</v>
      </c>
      <c r="D25" s="371"/>
      <c r="E25" s="190">
        <f>SUM(E26:E28)</f>
        <v>4500.281063843312</v>
      </c>
      <c r="F25" s="191">
        <f>SUM(F26:F28)</f>
        <v>4646.486264943368</v>
      </c>
      <c r="G25" s="192">
        <f>((F25/E25)-1)</f>
        <v>3.2488015531899839E-2</v>
      </c>
      <c r="H25" s="236">
        <f>SUM(H26:H28)</f>
        <v>45961.509486883042</v>
      </c>
      <c r="I25" s="191">
        <f>SUM(I26:I28)</f>
        <v>50687.346939382362</v>
      </c>
      <c r="J25" s="192">
        <f>((I25/H25)-1)</f>
        <v>0.10282163282404877</v>
      </c>
      <c r="K25" s="9"/>
      <c r="Q25" s="145" t="s">
        <v>0</v>
      </c>
      <c r="R25" s="146">
        <f>E25</f>
        <v>4500.281063843312</v>
      </c>
      <c r="S25" s="146">
        <f>F25</f>
        <v>4646.486264943368</v>
      </c>
    </row>
    <row r="26" spans="2:19" s="1" customFormat="1">
      <c r="B26" s="8"/>
      <c r="C26" s="266" t="s">
        <v>62</v>
      </c>
      <c r="D26" s="275" t="s">
        <v>102</v>
      </c>
      <c r="E26" s="157">
        <v>4386.96894643</v>
      </c>
      <c r="F26" s="158">
        <v>4536.5501945624974</v>
      </c>
      <c r="G26" s="278">
        <f t="shared" ref="G26:G32" si="0">((F26/E26)-1)</f>
        <v>3.4096719160554567E-2</v>
      </c>
      <c r="H26" s="237">
        <v>44613.182525289987</v>
      </c>
      <c r="I26" s="158">
        <v>49303.085725291494</v>
      </c>
      <c r="J26" s="159">
        <f t="shared" ref="J26:J32" si="1">((I26/H26)-1)</f>
        <v>0.10512370861107989</v>
      </c>
      <c r="K26" s="9"/>
    </row>
    <row r="27" spans="2:19" s="1" customFormat="1">
      <c r="B27" s="8"/>
      <c r="C27" s="267" t="s">
        <v>106</v>
      </c>
      <c r="D27" s="276" t="s">
        <v>77</v>
      </c>
      <c r="E27" s="269">
        <v>72.509947000000025</v>
      </c>
      <c r="F27" s="270">
        <v>75.897741069702704</v>
      </c>
      <c r="G27" s="279">
        <f t="shared" si="0"/>
        <v>4.6721783836122244E-2</v>
      </c>
      <c r="H27" s="271">
        <v>925.37985229091964</v>
      </c>
      <c r="I27" s="270">
        <v>943.31818986770259</v>
      </c>
      <c r="J27" s="279">
        <f t="shared" si="1"/>
        <v>1.9384836975187891E-2</v>
      </c>
      <c r="K27" s="9"/>
    </row>
    <row r="28" spans="2:19" s="1" customFormat="1">
      <c r="B28" s="8"/>
      <c r="C28" s="268" t="s">
        <v>64</v>
      </c>
      <c r="D28" s="277" t="s">
        <v>77</v>
      </c>
      <c r="E28" s="157">
        <v>40.802170413311643</v>
      </c>
      <c r="F28" s="158">
        <v>34.03832931116775</v>
      </c>
      <c r="G28" s="278">
        <f t="shared" si="0"/>
        <v>-0.16577160071703445</v>
      </c>
      <c r="H28" s="237">
        <v>422.94710930213762</v>
      </c>
      <c r="I28" s="158">
        <v>440.94302422316781</v>
      </c>
      <c r="J28" s="278">
        <f t="shared" si="1"/>
        <v>4.2548854278076087E-2</v>
      </c>
      <c r="K28" s="9"/>
    </row>
    <row r="29" spans="2:19" s="1" customFormat="1">
      <c r="B29" s="8"/>
      <c r="C29" s="370" t="s">
        <v>76</v>
      </c>
      <c r="D29" s="371"/>
      <c r="E29" s="190">
        <f>SUM(E30:E31)</f>
        <v>157.28378626713643</v>
      </c>
      <c r="F29" s="191">
        <f>SUM(F30:F31)</f>
        <v>153.16878006618916</v>
      </c>
      <c r="G29" s="192">
        <f t="shared" si="0"/>
        <v>-2.6162939604964741E-2</v>
      </c>
      <c r="H29" s="236">
        <f>SUM(H30:H31)</f>
        <v>1880.0619008963049</v>
      </c>
      <c r="I29" s="191">
        <f>SUM(I30:I31)</f>
        <v>1694.1776348859084</v>
      </c>
      <c r="J29" s="192">
        <f t="shared" si="1"/>
        <v>-9.8871354140934176E-2</v>
      </c>
      <c r="K29" s="9"/>
      <c r="Q29" s="145"/>
      <c r="R29" s="145"/>
      <c r="S29" s="145"/>
    </row>
    <row r="30" spans="2:19" s="1" customFormat="1">
      <c r="B30" s="8"/>
      <c r="C30" s="272" t="s">
        <v>68</v>
      </c>
      <c r="D30" s="152"/>
      <c r="E30" s="157">
        <v>38.938291000000014</v>
      </c>
      <c r="F30" s="158">
        <v>40.42405879087439</v>
      </c>
      <c r="G30" s="278">
        <f t="shared" si="0"/>
        <v>3.8156985135130217E-2</v>
      </c>
      <c r="H30" s="237">
        <v>413.07443300136208</v>
      </c>
      <c r="I30" s="158">
        <v>440.09175996137446</v>
      </c>
      <c r="J30" s="278">
        <f t="shared" si="1"/>
        <v>6.5405468849056847E-2</v>
      </c>
      <c r="K30" s="9"/>
    </row>
    <row r="31" spans="2:19" s="1" customFormat="1" ht="13.8" thickBot="1">
      <c r="B31" s="8"/>
      <c r="C31" s="273" t="s">
        <v>64</v>
      </c>
      <c r="D31" s="274"/>
      <c r="E31" s="161">
        <v>118.34549526713643</v>
      </c>
      <c r="F31" s="162">
        <v>112.74472127531476</v>
      </c>
      <c r="G31" s="369">
        <f t="shared" si="0"/>
        <v>-4.7325620457113859E-2</v>
      </c>
      <c r="H31" s="238">
        <v>1466.9874678949429</v>
      </c>
      <c r="I31" s="162">
        <v>1254.085874924534</v>
      </c>
      <c r="J31" s="302">
        <f t="shared" si="1"/>
        <v>-0.14512843335731596</v>
      </c>
      <c r="K31" s="9"/>
    </row>
    <row r="32" spans="2:19" s="1" customFormat="1" ht="14.4" thickTop="1" thickBot="1">
      <c r="B32" s="8"/>
      <c r="C32" s="372" t="s">
        <v>108</v>
      </c>
      <c r="D32" s="373"/>
      <c r="E32" s="193">
        <f>SUM(E25,E29)</f>
        <v>4657.5648501104488</v>
      </c>
      <c r="F32" s="194">
        <f>SUM(F25,F29)</f>
        <v>4799.6550450095574</v>
      </c>
      <c r="G32" s="195">
        <f t="shared" si="0"/>
        <v>3.0507400212739677E-2</v>
      </c>
      <c r="H32" s="239">
        <f>SUM(H25,H29)</f>
        <v>47841.571387779346</v>
      </c>
      <c r="I32" s="194">
        <f>SUM(I25,I29)</f>
        <v>52381.524574268267</v>
      </c>
      <c r="J32" s="195">
        <f t="shared" si="1"/>
        <v>9.4895569998952878E-2</v>
      </c>
      <c r="K32" s="9"/>
    </row>
    <row r="33" spans="2:19" s="1" customFormat="1">
      <c r="B33" s="8"/>
      <c r="C33" s="313" t="s">
        <v>103</v>
      </c>
      <c r="D33" s="164"/>
      <c r="E33" s="164"/>
      <c r="F33" s="165"/>
      <c r="G33" s="130"/>
      <c r="H33" s="164"/>
      <c r="I33" s="164"/>
      <c r="J33" s="130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8"/>
      <c r="D38" s="149"/>
      <c r="E38" s="379" t="s">
        <v>126</v>
      </c>
      <c r="F38" s="380"/>
      <c r="G38" s="376" t="s">
        <v>74</v>
      </c>
      <c r="H38" s="381" t="s">
        <v>127</v>
      </c>
      <c r="I38" s="382"/>
      <c r="J38" s="376" t="s">
        <v>74</v>
      </c>
      <c r="K38" s="9"/>
      <c r="Q38" s="145"/>
      <c r="R38" s="145">
        <v>2020</v>
      </c>
      <c r="S38" s="145">
        <v>2021</v>
      </c>
    </row>
    <row r="39" spans="2:19" s="1" customFormat="1" ht="12.75" customHeight="1">
      <c r="B39" s="8"/>
      <c r="C39" s="151" t="s">
        <v>75</v>
      </c>
      <c r="D39" s="152"/>
      <c r="E39" s="153">
        <v>2020</v>
      </c>
      <c r="F39" s="154">
        <v>2021</v>
      </c>
      <c r="G39" s="377"/>
      <c r="H39" s="240">
        <v>2020</v>
      </c>
      <c r="I39" s="93">
        <v>2021</v>
      </c>
      <c r="J39" s="377"/>
      <c r="K39" s="9"/>
      <c r="Q39" s="145" t="s">
        <v>66</v>
      </c>
      <c r="R39" s="146">
        <f>SUM(E41,E46)</f>
        <v>1851.7633676895532</v>
      </c>
      <c r="S39" s="146">
        <f>SUM(F41,F46)</f>
        <v>2491.9605909700726</v>
      </c>
    </row>
    <row r="40" spans="2:19" s="1" customFormat="1">
      <c r="B40" s="8"/>
      <c r="C40" s="370" t="s">
        <v>68</v>
      </c>
      <c r="D40" s="371"/>
      <c r="E40" s="190">
        <f>SUM(E41:E44)</f>
        <v>4498.4171844299999</v>
      </c>
      <c r="F40" s="191">
        <f>SUM(F41:F44)</f>
        <v>4652.8719944230743</v>
      </c>
      <c r="G40" s="192">
        <f>((F40/E40)-1)</f>
        <v>3.4335368121853227E-2</v>
      </c>
      <c r="H40" s="236">
        <f>SUM(H41:H44)</f>
        <v>45951.636810582284</v>
      </c>
      <c r="I40" s="191">
        <f>SUM(I41:I44)</f>
        <v>50686.495675120575</v>
      </c>
      <c r="J40" s="192">
        <f>((I40/H40)-1)</f>
        <v>0.10304004804128963</v>
      </c>
      <c r="K40" s="9"/>
      <c r="Q40" s="145" t="s">
        <v>65</v>
      </c>
      <c r="R40" s="146">
        <f>SUM(E42,E47)</f>
        <v>2566.7593734208945</v>
      </c>
      <c r="S40" s="146">
        <f>SUM(F42,F47)</f>
        <v>2071.6410025519849</v>
      </c>
    </row>
    <row r="41" spans="2:19" s="1" customFormat="1">
      <c r="B41" s="8"/>
      <c r="C41" s="156" t="s">
        <v>66</v>
      </c>
      <c r="D41" s="131"/>
      <c r="E41" s="157">
        <v>1807.6897664299997</v>
      </c>
      <c r="F41" s="158">
        <f>D12</f>
        <v>2446.4578452882629</v>
      </c>
      <c r="G41" s="278">
        <f t="shared" ref="G41:G48" si="2">((F41/E41)-1)</f>
        <v>0.35336156165765331</v>
      </c>
      <c r="H41" s="237">
        <v>27104.218559582285</v>
      </c>
      <c r="I41" s="158">
        <v>28290.354525377257</v>
      </c>
      <c r="J41" s="278">
        <f t="shared" ref="J41:J48" si="3">((I41/H41)-1)</f>
        <v>4.3762042546533042E-2</v>
      </c>
      <c r="K41" s="9"/>
      <c r="Q41" s="145" t="s">
        <v>67</v>
      </c>
      <c r="R41" s="146">
        <f>E43</f>
        <v>157.52374</v>
      </c>
      <c r="S41" s="146">
        <f>F43</f>
        <v>159.68750474499998</v>
      </c>
    </row>
    <row r="42" spans="2:19" s="1" customFormat="1">
      <c r="B42" s="8"/>
      <c r="C42" s="156" t="s">
        <v>65</v>
      </c>
      <c r="D42" s="131"/>
      <c r="E42" s="157">
        <v>2451.685309</v>
      </c>
      <c r="F42" s="158">
        <f>D13</f>
        <v>1970.3606976473118</v>
      </c>
      <c r="G42" s="278">
        <f t="shared" si="2"/>
        <v>-0.19632397746389896</v>
      </c>
      <c r="H42" s="237">
        <v>16477.042357000002</v>
      </c>
      <c r="I42" s="158">
        <v>20010.276677885817</v>
      </c>
      <c r="J42" s="278">
        <f t="shared" si="3"/>
        <v>0.21443377059626112</v>
      </c>
      <c r="K42" s="9"/>
      <c r="Q42" s="145" t="s">
        <v>5</v>
      </c>
      <c r="R42" s="146">
        <f>E44</f>
        <v>81.518369000000007</v>
      </c>
      <c r="S42" s="146">
        <f>F44</f>
        <v>76.365946742499986</v>
      </c>
    </row>
    <row r="43" spans="2:19" s="1" customFormat="1">
      <c r="B43" s="8"/>
      <c r="C43" s="156" t="s">
        <v>67</v>
      </c>
      <c r="D43" s="131"/>
      <c r="E43" s="157">
        <v>157.52374</v>
      </c>
      <c r="F43" s="158">
        <f>D14</f>
        <v>159.68750474499998</v>
      </c>
      <c r="G43" s="335">
        <f t="shared" si="2"/>
        <v>1.3736118409834575E-2</v>
      </c>
      <c r="H43" s="237">
        <v>1665.9623609999999</v>
      </c>
      <c r="I43" s="158">
        <v>1657.4344494375</v>
      </c>
      <c r="J43" s="278">
        <f t="shared" si="3"/>
        <v>-5.1189101039359475E-3</v>
      </c>
      <c r="K43" s="9"/>
    </row>
    <row r="44" spans="2:19" s="1" customFormat="1">
      <c r="B44" s="8"/>
      <c r="C44" s="156" t="s">
        <v>5</v>
      </c>
      <c r="D44" s="131"/>
      <c r="E44" s="157">
        <v>81.518369000000007</v>
      </c>
      <c r="F44" s="158">
        <f>D15</f>
        <v>76.365946742499986</v>
      </c>
      <c r="G44" s="368">
        <f t="shared" si="2"/>
        <v>-6.3205659297477124E-2</v>
      </c>
      <c r="H44" s="237">
        <v>704.4135329999998</v>
      </c>
      <c r="I44" s="158">
        <v>728.43002241999989</v>
      </c>
      <c r="J44" s="159">
        <f t="shared" si="3"/>
        <v>3.409430440343364E-2</v>
      </c>
      <c r="K44" s="9"/>
      <c r="Q44" s="145"/>
      <c r="R44" s="145"/>
      <c r="S44" s="145"/>
    </row>
    <row r="45" spans="2:19" s="1" customFormat="1">
      <c r="B45" s="8"/>
      <c r="C45" s="370" t="s">
        <v>64</v>
      </c>
      <c r="D45" s="371"/>
      <c r="E45" s="190">
        <f>SUM(E46:E47)</f>
        <v>159.14766568044809</v>
      </c>
      <c r="F45" s="191">
        <f>SUM(F46:F47)</f>
        <v>146.78305058648249</v>
      </c>
      <c r="G45" s="192">
        <f t="shared" si="2"/>
        <v>-7.7692720412201655E-2</v>
      </c>
      <c r="H45" s="236">
        <f>SUM(H46:H47)</f>
        <v>1889.9345771970809</v>
      </c>
      <c r="I45" s="191">
        <f>SUM(I46:I47)</f>
        <v>1695.0288991477021</v>
      </c>
      <c r="J45" s="192">
        <f t="shared" si="3"/>
        <v>-0.1031282671903061</v>
      </c>
      <c r="K45" s="9"/>
    </row>
    <row r="46" spans="2:19" s="1" customFormat="1">
      <c r="B46" s="8"/>
      <c r="C46" s="156" t="s">
        <v>66</v>
      </c>
      <c r="D46" s="131"/>
      <c r="E46" s="157">
        <v>44.073601259553392</v>
      </c>
      <c r="F46" s="158">
        <f>E12</f>
        <v>45.502745681809571</v>
      </c>
      <c r="G46" s="159">
        <f t="shared" si="2"/>
        <v>3.2426313743681101E-2</v>
      </c>
      <c r="H46" s="237">
        <v>552.92464051856427</v>
      </c>
      <c r="I46" s="158">
        <v>597.53744641568528</v>
      </c>
      <c r="J46" s="159">
        <f t="shared" si="3"/>
        <v>8.0685146994499135E-2</v>
      </c>
      <c r="K46" s="9"/>
    </row>
    <row r="47" spans="2:19" s="1" customFormat="1" ht="13.8" thickBot="1">
      <c r="B47" s="8"/>
      <c r="C47" s="160" t="s">
        <v>65</v>
      </c>
      <c r="D47" s="131"/>
      <c r="E47" s="161">
        <v>115.0740644208947</v>
      </c>
      <c r="F47" s="162">
        <f>E13</f>
        <v>101.28030490467293</v>
      </c>
      <c r="G47" s="302">
        <f t="shared" si="2"/>
        <v>-0.11986853497908734</v>
      </c>
      <c r="H47" s="238">
        <v>1337.0099366785166</v>
      </c>
      <c r="I47" s="162">
        <v>1097.4914527320168</v>
      </c>
      <c r="J47" s="163">
        <f t="shared" si="3"/>
        <v>-0.17914487946254654</v>
      </c>
      <c r="K47" s="9"/>
    </row>
    <row r="48" spans="2:19" s="1" customFormat="1" ht="14.4" thickTop="1" thickBot="1">
      <c r="B48" s="8"/>
      <c r="C48" s="372" t="s">
        <v>108</v>
      </c>
      <c r="D48" s="373"/>
      <c r="E48" s="193">
        <f>SUM(E40,E45)</f>
        <v>4657.5648501104479</v>
      </c>
      <c r="F48" s="194">
        <f>SUM(F40,F45)</f>
        <v>4799.6550450095565</v>
      </c>
      <c r="G48" s="195">
        <f t="shared" si="2"/>
        <v>3.0507400212739677E-2</v>
      </c>
      <c r="H48" s="239">
        <f>SUM(H40,H45)</f>
        <v>47841.571387779368</v>
      </c>
      <c r="I48" s="194">
        <f>SUM(I40,I45)</f>
        <v>52381.524574268275</v>
      </c>
      <c r="J48" s="195">
        <f t="shared" si="3"/>
        <v>9.4895569998952656E-2</v>
      </c>
      <c r="K48" s="9"/>
    </row>
    <row r="49" spans="2:23" s="1" customFormat="1">
      <c r="B49" s="8"/>
      <c r="C49" s="264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9"/>
    </row>
    <row r="53" spans="2:23" s="1" customFormat="1" ht="13.8" thickBot="1">
      <c r="B53" s="8"/>
      <c r="C53" s="10"/>
      <c r="H53" s="9"/>
      <c r="I53" s="9"/>
      <c r="J53" s="9"/>
      <c r="K53" s="9"/>
      <c r="L53" s="259"/>
      <c r="M53" s="259"/>
    </row>
    <row r="54" spans="2:23" s="1" customFormat="1" ht="12.75" customHeight="1">
      <c r="B54" s="8"/>
      <c r="C54" s="148"/>
      <c r="D54" s="149"/>
      <c r="E54" s="379" t="s">
        <v>126</v>
      </c>
      <c r="F54" s="380"/>
      <c r="G54" s="376" t="s">
        <v>74</v>
      </c>
      <c r="H54" s="381" t="s">
        <v>127</v>
      </c>
      <c r="I54" s="382"/>
      <c r="J54" s="376" t="s">
        <v>74</v>
      </c>
      <c r="K54" s="9"/>
      <c r="L54" s="259"/>
      <c r="M54" s="259"/>
    </row>
    <row r="55" spans="2:23" s="1" customFormat="1" ht="12.75" customHeight="1">
      <c r="B55" s="8"/>
      <c r="C55" s="151" t="s">
        <v>75</v>
      </c>
      <c r="D55" s="152"/>
      <c r="E55" s="153">
        <v>2020</v>
      </c>
      <c r="F55" s="154">
        <v>2021</v>
      </c>
      <c r="G55" s="377"/>
      <c r="H55" s="240">
        <v>2020</v>
      </c>
      <c r="I55" s="93">
        <v>2021</v>
      </c>
      <c r="J55" s="377"/>
      <c r="K55" s="9"/>
      <c r="L55" s="259"/>
      <c r="M55" s="259"/>
    </row>
    <row r="56" spans="2:23" s="1" customFormat="1">
      <c r="B56" s="8"/>
      <c r="C56" s="370" t="s">
        <v>68</v>
      </c>
      <c r="D56" s="371"/>
      <c r="E56" s="190">
        <f>SUM(E57:E60)</f>
        <v>4498.4171844299999</v>
      </c>
      <c r="F56" s="191">
        <f>SUM(F57:F60)</f>
        <v>4652.8719944230743</v>
      </c>
      <c r="G56" s="192">
        <f>((F56/E56)-1)</f>
        <v>3.4335368121853227E-2</v>
      </c>
      <c r="H56" s="236">
        <f>SUM(H57:H60)</f>
        <v>45951.636810582291</v>
      </c>
      <c r="I56" s="191">
        <f>SUM(I57:I60)</f>
        <v>50686.495675120575</v>
      </c>
      <c r="J56" s="192">
        <f>((I56/H56)-1)</f>
        <v>0.10304004804128941</v>
      </c>
      <c r="K56" s="9"/>
    </row>
    <row r="57" spans="2:23" s="1" customFormat="1" ht="26.4">
      <c r="B57" s="8"/>
      <c r="C57" s="384" t="s">
        <v>78</v>
      </c>
      <c r="D57" s="280" t="s">
        <v>79</v>
      </c>
      <c r="E57" s="326">
        <f>SUM(E43:E44)+37.985629</f>
        <v>277.027738</v>
      </c>
      <c r="F57" s="327">
        <f>SUM(F43:F44)+28.9965456524304</f>
        <v>265.04999713993038</v>
      </c>
      <c r="G57" s="170">
        <f t="shared" ref="G57:G65" si="4">((F57/E57)-1)</f>
        <v>-4.3236612140512887E-2</v>
      </c>
      <c r="H57" s="328">
        <f>SUM(H43:H44)+271.603174</f>
        <v>2641.9790679999996</v>
      </c>
      <c r="I57" s="327">
        <f>SUM(I43:I44)+321.49326274993</f>
        <v>2707.3577346074298</v>
      </c>
      <c r="J57" s="170">
        <f t="shared" ref="J57:J65" si="5">((I57/H57)-1)</f>
        <v>2.4746095606624996E-2</v>
      </c>
      <c r="K57" s="9"/>
      <c r="L57" s="259"/>
      <c r="Q57" s="145"/>
      <c r="R57" s="145"/>
      <c r="T57" s="145">
        <v>2020</v>
      </c>
      <c r="U57" s="145">
        <v>2021</v>
      </c>
      <c r="V57" s="145"/>
      <c r="W57" s="145"/>
    </row>
    <row r="58" spans="2:23" s="1" customFormat="1" ht="13.8">
      <c r="B58" s="8"/>
      <c r="C58" s="385"/>
      <c r="D58" s="281" t="s">
        <v>110</v>
      </c>
      <c r="E58" s="269">
        <v>114.60069452249995</v>
      </c>
      <c r="F58" s="331">
        <v>196.46233822499971</v>
      </c>
      <c r="G58" s="279">
        <f t="shared" si="4"/>
        <v>0.71432065960496938</v>
      </c>
      <c r="H58" s="271">
        <v>1853.6392323775003</v>
      </c>
      <c r="I58" s="270">
        <v>2081.2122076024989</v>
      </c>
      <c r="J58" s="279">
        <f t="shared" si="5"/>
        <v>0.12277090992140405</v>
      </c>
      <c r="K58" s="9"/>
      <c r="L58" s="259"/>
      <c r="M58" s="259"/>
      <c r="Q58" s="378" t="s">
        <v>80</v>
      </c>
      <c r="R58" s="145" t="s">
        <v>66</v>
      </c>
      <c r="T58" s="146">
        <f>SUM(E60,E64)</f>
        <v>1737.1626731670533</v>
      </c>
      <c r="U58" s="146">
        <f>SUM(F60,F64)</f>
        <v>2295.4982527450729</v>
      </c>
      <c r="V58" s="147">
        <f t="shared" ref="V58:W61" si="6">T58/T$64</f>
        <v>0.37297659379361275</v>
      </c>
      <c r="W58" s="147">
        <f t="shared" si="6"/>
        <v>0.47826317333613744</v>
      </c>
    </row>
    <row r="59" spans="2:23" s="1" customFormat="1">
      <c r="B59" s="8"/>
      <c r="C59" s="383" t="s">
        <v>80</v>
      </c>
      <c r="D59" s="282" t="s">
        <v>81</v>
      </c>
      <c r="E59" s="157">
        <f>SUM(E42:E44)-E57</f>
        <v>2413.6996799999997</v>
      </c>
      <c r="F59" s="158">
        <f>SUM(F42:F44)-F57</f>
        <v>1941.3641519948815</v>
      </c>
      <c r="G59" s="278">
        <f t="shared" si="4"/>
        <v>-0.19568943556603458</v>
      </c>
      <c r="H59" s="237">
        <f>SUM(H42:H44)-H57</f>
        <v>16205.439183000002</v>
      </c>
      <c r="I59" s="158">
        <f>SUM(I42:I44)-I57</f>
        <v>19688.783415135887</v>
      </c>
      <c r="J59" s="278">
        <f t="shared" si="5"/>
        <v>0.21494907930604068</v>
      </c>
      <c r="K59" s="9"/>
      <c r="Q59" s="378"/>
      <c r="R59" s="145" t="s">
        <v>65</v>
      </c>
      <c r="T59" s="146">
        <f>SUM(E59,E63)</f>
        <v>2510.1370374208946</v>
      </c>
      <c r="U59" s="146">
        <f>SUM(F59,F63)</f>
        <v>2022.3304910540189</v>
      </c>
      <c r="V59" s="147">
        <f t="shared" si="6"/>
        <v>0.53893764621685725</v>
      </c>
      <c r="W59" s="147">
        <f t="shared" si="6"/>
        <v>0.42134913282085495</v>
      </c>
    </row>
    <row r="60" spans="2:23" s="1" customFormat="1">
      <c r="B60" s="8"/>
      <c r="C60" s="383"/>
      <c r="D60" s="283" t="s">
        <v>41</v>
      </c>
      <c r="E60" s="157">
        <f>E41-E58</f>
        <v>1693.0890719074998</v>
      </c>
      <c r="F60" s="158">
        <f>F41-F58</f>
        <v>2249.9955070632632</v>
      </c>
      <c r="G60" s="159">
        <f t="shared" si="4"/>
        <v>0.32892920071141374</v>
      </c>
      <c r="H60" s="237">
        <f>H41-H58</f>
        <v>25250.579327204785</v>
      </c>
      <c r="I60" s="158">
        <f>I41-I58</f>
        <v>26209.142317774757</v>
      </c>
      <c r="J60" s="278">
        <f t="shared" si="5"/>
        <v>3.7962019728284835E-2</v>
      </c>
      <c r="K60" s="9"/>
      <c r="Q60" s="378" t="s">
        <v>78</v>
      </c>
      <c r="R60" s="145" t="s">
        <v>66</v>
      </c>
      <c r="T60" s="146">
        <f>E58</f>
        <v>114.60069452249995</v>
      </c>
      <c r="U60" s="146">
        <f>F58</f>
        <v>196.46233822499971</v>
      </c>
      <c r="V60" s="147">
        <f t="shared" si="6"/>
        <v>2.4605281560337769E-2</v>
      </c>
      <c r="W60" s="147">
        <f t="shared" si="6"/>
        <v>4.093259544334784E-2</v>
      </c>
    </row>
    <row r="61" spans="2:23" s="1" customFormat="1">
      <c r="B61" s="8"/>
      <c r="C61" s="370" t="s">
        <v>64</v>
      </c>
      <c r="D61" s="371"/>
      <c r="E61" s="190">
        <f>SUM(E62:E64)</f>
        <v>159.14766568044809</v>
      </c>
      <c r="F61" s="191">
        <f>SUM(F62:F64)</f>
        <v>146.78305058648249</v>
      </c>
      <c r="G61" s="192">
        <f t="shared" si="4"/>
        <v>-7.7692720412201655E-2</v>
      </c>
      <c r="H61" s="236">
        <f>SUM(H62:H64)</f>
        <v>1889.9345771970809</v>
      </c>
      <c r="I61" s="191">
        <f>SUM(I62:I64)</f>
        <v>1695.0288991477021</v>
      </c>
      <c r="J61" s="192">
        <f t="shared" si="5"/>
        <v>-0.1031282671903061</v>
      </c>
      <c r="K61" s="9"/>
      <c r="Q61" s="378"/>
      <c r="R61" s="145" t="s">
        <v>89</v>
      </c>
      <c r="T61" s="146">
        <f>E57+E62</f>
        <v>295.664445</v>
      </c>
      <c r="U61" s="146">
        <f>F57+F62</f>
        <v>285.36396298546578</v>
      </c>
      <c r="V61" s="147">
        <f t="shared" si="6"/>
        <v>6.3480478429192175E-2</v>
      </c>
      <c r="W61" s="147">
        <f t="shared" si="6"/>
        <v>5.9455098399659574E-2</v>
      </c>
    </row>
    <row r="62" spans="2:23" s="1" customFormat="1">
      <c r="B62" s="8"/>
      <c r="C62" s="314" t="s">
        <v>78</v>
      </c>
      <c r="D62" s="315" t="s">
        <v>114</v>
      </c>
      <c r="E62" s="354">
        <v>18.636706999999998</v>
      </c>
      <c r="F62" s="329">
        <v>20.313965845535403</v>
      </c>
      <c r="G62" s="316">
        <f t="shared" si="4"/>
        <v>8.9997596975442296E-2</v>
      </c>
      <c r="H62" s="330">
        <v>208.965341</v>
      </c>
      <c r="I62" s="329">
        <v>182.72366904553539</v>
      </c>
      <c r="J62" s="316">
        <f t="shared" si="5"/>
        <v>-0.12557906411123276</v>
      </c>
      <c r="K62" s="9"/>
      <c r="Q62" s="145"/>
      <c r="R62" s="145"/>
      <c r="T62" s="145"/>
      <c r="U62" s="145"/>
      <c r="V62" s="145"/>
      <c r="W62" s="145"/>
    </row>
    <row r="63" spans="2:23" s="1" customFormat="1">
      <c r="B63" s="8"/>
      <c r="C63" s="386" t="s">
        <v>80</v>
      </c>
      <c r="D63" s="282" t="s">
        <v>81</v>
      </c>
      <c r="E63" s="157">
        <f>E47-E62</f>
        <v>96.437357420894699</v>
      </c>
      <c r="F63" s="158">
        <f>F47-F62</f>
        <v>80.966339059137525</v>
      </c>
      <c r="G63" s="278">
        <f t="shared" ref="G63" si="7">((F63/E63)-1)</f>
        <v>-0.16042557340341568</v>
      </c>
      <c r="H63" s="237">
        <f>H47-H62</f>
        <v>1128.0445956785165</v>
      </c>
      <c r="I63" s="158">
        <f>I47-I62</f>
        <v>914.76778368648138</v>
      </c>
      <c r="J63" s="278">
        <f t="shared" ref="J63" si="8">((I63/H63)-1)</f>
        <v>-0.18906771311088955</v>
      </c>
      <c r="K63" s="9"/>
      <c r="Q63" s="145"/>
      <c r="R63" s="145"/>
      <c r="T63" s="145"/>
      <c r="U63" s="145"/>
      <c r="V63" s="145"/>
      <c r="W63" s="145"/>
    </row>
    <row r="64" spans="2:23" s="1" customFormat="1" ht="13.8" thickBot="1">
      <c r="B64" s="8"/>
      <c r="C64" s="387"/>
      <c r="D64" s="284" t="s">
        <v>41</v>
      </c>
      <c r="E64" s="161">
        <f>E46</f>
        <v>44.073601259553392</v>
      </c>
      <c r="F64" s="162">
        <f>F46</f>
        <v>45.502745681809571</v>
      </c>
      <c r="G64" s="163">
        <f t="shared" si="4"/>
        <v>3.2426313743681101E-2</v>
      </c>
      <c r="H64" s="238">
        <f>H46</f>
        <v>552.92464051856427</v>
      </c>
      <c r="I64" s="162">
        <f>I46</f>
        <v>597.53744641568528</v>
      </c>
      <c r="J64" s="163">
        <f t="shared" si="5"/>
        <v>8.0685146994499135E-2</v>
      </c>
      <c r="K64" s="9"/>
      <c r="Q64" s="145"/>
      <c r="R64" s="145"/>
      <c r="T64" s="146">
        <f>SUM(T58:T61)</f>
        <v>4657.5648501104479</v>
      </c>
      <c r="U64" s="146">
        <f>SUM(U58:U61)</f>
        <v>4799.6550450095583</v>
      </c>
      <c r="V64" s="145"/>
      <c r="W64" s="145"/>
    </row>
    <row r="65" spans="2:22" s="1" customFormat="1" ht="14.4" thickTop="1" thickBot="1">
      <c r="B65" s="8"/>
      <c r="C65" s="372" t="s">
        <v>108</v>
      </c>
      <c r="D65" s="373"/>
      <c r="E65" s="193">
        <f>SUM(E56,E61)</f>
        <v>4657.5648501104479</v>
      </c>
      <c r="F65" s="194">
        <f>SUM(F56,F61)</f>
        <v>4799.6550450095565</v>
      </c>
      <c r="G65" s="195">
        <f t="shared" si="4"/>
        <v>3.0507400212739677E-2</v>
      </c>
      <c r="H65" s="239">
        <f>SUM(H56,H61)</f>
        <v>47841.571387779375</v>
      </c>
      <c r="I65" s="194">
        <f>SUM(I56,I61)</f>
        <v>52381.524574268275</v>
      </c>
      <c r="J65" s="195">
        <f t="shared" si="5"/>
        <v>9.4895569998952434E-2</v>
      </c>
      <c r="K65" s="9"/>
      <c r="Q65" s="145"/>
      <c r="R65" s="145"/>
      <c r="S65" s="145"/>
      <c r="T65" s="145"/>
      <c r="U65" s="145"/>
      <c r="V65" s="145"/>
    </row>
    <row r="66" spans="2:22" s="1" customFormat="1">
      <c r="B66" s="8"/>
      <c r="C66" s="264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55" zoomScale="120" zoomScaleNormal="100" zoomScaleSheetLayoutView="120" workbookViewId="0">
      <selection activeCell="C26" sqref="C26:I35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2491.9605909700726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1947.3425423988656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74.76767416383791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49.31051149796582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159.68750474499998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76.365946742499986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5">
        <f t="shared" si="0"/>
        <v>0.2202744913157052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4799.6550450095574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0"/>
      <c r="G23" s="263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3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0"/>
      <c r="D25" s="130"/>
      <c r="E25" s="166"/>
      <c r="F25" s="166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4" t="s">
        <v>61</v>
      </c>
      <c r="D26" s="390" t="s">
        <v>126</v>
      </c>
      <c r="E26" s="390"/>
      <c r="F26" s="391" t="s">
        <v>74</v>
      </c>
      <c r="G26" s="393" t="s">
        <v>127</v>
      </c>
      <c r="H26" s="394"/>
      <c r="I26" s="391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5"/>
      <c r="D27" s="95">
        <v>2020</v>
      </c>
      <c r="E27" s="96">
        <v>2021</v>
      </c>
      <c r="F27" s="392"/>
      <c r="G27" s="241">
        <v>2020</v>
      </c>
      <c r="H27" s="96">
        <v>2021</v>
      </c>
      <c r="I27" s="392"/>
      <c r="J27" s="20"/>
      <c r="K27" s="54"/>
      <c r="L27" s="54"/>
      <c r="M27" s="55" t="s">
        <v>85</v>
      </c>
      <c r="N27" s="70">
        <f t="shared" ref="N27:O29" si="1">D28</f>
        <v>1851.7633676895532</v>
      </c>
      <c r="O27" s="70">
        <f t="shared" si="1"/>
        <v>2491.9605909700726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7" t="s">
        <v>85</v>
      </c>
      <c r="D28" s="168">
        <f>'Resumen (G)'!E41+'Resumen (G)'!E46</f>
        <v>1851.7633676895532</v>
      </c>
      <c r="E28" s="169">
        <f>'Resumen (G)'!F41+'Resumen (G)'!F46</f>
        <v>2491.9605909700726</v>
      </c>
      <c r="F28" s="170">
        <f>+E28/D28-1</f>
        <v>0.34572301971784558</v>
      </c>
      <c r="G28" s="254">
        <f>'Resumen (G)'!H41+'Resumen (G)'!H46</f>
        <v>27657.143200100851</v>
      </c>
      <c r="H28" s="169">
        <f>'Resumen (G)'!I41+'Resumen (G)'!I46</f>
        <v>28887.891971792942</v>
      </c>
      <c r="I28" s="357">
        <f>+H28/G28-1</f>
        <v>4.4500213300685543E-2</v>
      </c>
      <c r="J28" s="303"/>
      <c r="K28" s="54"/>
      <c r="L28" s="54"/>
      <c r="M28" s="55" t="s">
        <v>2</v>
      </c>
      <c r="N28" s="70">
        <f t="shared" si="1"/>
        <v>2425.4113430000002</v>
      </c>
      <c r="O28" s="70">
        <f t="shared" si="1"/>
        <v>1947.3425423988656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1" t="s">
        <v>2</v>
      </c>
      <c r="D29" s="172">
        <v>2425.4113430000002</v>
      </c>
      <c r="E29" s="173">
        <v>1947.3425423988656</v>
      </c>
      <c r="F29" s="174">
        <f t="shared" ref="F29:F35" si="2">+E29/D29-1</f>
        <v>-0.19710833874876232</v>
      </c>
      <c r="G29" s="255">
        <v>16367.509615000001</v>
      </c>
      <c r="H29" s="173">
        <v>19728.082102998873</v>
      </c>
      <c r="I29" s="174">
        <f t="shared" ref="I29:I35" si="3">+H29/G29-1</f>
        <v>0.20531971980142139</v>
      </c>
      <c r="J29" s="261"/>
      <c r="K29" s="262"/>
      <c r="L29" s="54"/>
      <c r="M29" s="55" t="s">
        <v>84</v>
      </c>
      <c r="N29" s="70">
        <f t="shared" si="1"/>
        <v>84.52069442089487</v>
      </c>
      <c r="O29" s="70">
        <f t="shared" si="1"/>
        <v>74.76767416383791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1" t="s">
        <v>3</v>
      </c>
      <c r="D30" s="172">
        <f>'Resumen (G)'!E32-SUM('TipoRecurso (G)'!D28:D29,'TipoRecurso (G)'!D31:D34)</f>
        <v>84.52069442089487</v>
      </c>
      <c r="E30" s="173">
        <f>'Resumen (G)'!F32-SUM('TipoRecurso (G)'!E28:E29,'TipoRecurso (G)'!E31:E34)</f>
        <v>74.76767416383791</v>
      </c>
      <c r="F30" s="174">
        <f t="shared" si="2"/>
        <v>-0.11539209804038075</v>
      </c>
      <c r="G30" s="255">
        <f>'Resumen (G)'!H32-SUM('TipoRecurso (G)'!G28:G29,'TipoRecurso (G)'!G31:G34)</f>
        <v>963.52016367849865</v>
      </c>
      <c r="H30" s="173">
        <f>'Resumen (G)'!I32-SUM('TipoRecurso (G)'!H28:H29,'TipoRecurso (G)'!H31:H34)</f>
        <v>873.03177022017917</v>
      </c>
      <c r="I30" s="174">
        <f t="shared" si="3"/>
        <v>-9.3914374467116035E-2</v>
      </c>
      <c r="J30" s="303"/>
      <c r="K30" s="54"/>
      <c r="L30" s="54"/>
      <c r="M30" s="55" t="s">
        <v>4</v>
      </c>
      <c r="N30" s="99">
        <f>D34</f>
        <v>0.20499999999999999</v>
      </c>
      <c r="O30" s="99">
        <f>E34</f>
        <v>0.2202744913157052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1" t="s">
        <v>6</v>
      </c>
      <c r="D31" s="172">
        <f>'Resumen (G)'!E57+'Resumen (G)'!E62-SUM('TipoRecurso (G)'!D32:D33)</f>
        <v>56.62233599999999</v>
      </c>
      <c r="E31" s="173">
        <f>'Resumen (G)'!F57+'Resumen (G)'!F62-SUM('TipoRecurso (G)'!E32:E33)</f>
        <v>49.31051149796582</v>
      </c>
      <c r="F31" s="174">
        <f t="shared" si="2"/>
        <v>-0.12913321877137274</v>
      </c>
      <c r="G31" s="255">
        <f>'Resumen (G)'!H57+'Resumen (G)'!H62-SUM('TipoRecurso (G)'!G32:G33)</f>
        <v>480.56851499999993</v>
      </c>
      <c r="H31" s="173">
        <f>'Resumen (G)'!I57+'Resumen (G)'!I62-SUM('TipoRecurso (G)'!H32:H33)</f>
        <v>504.21693179546537</v>
      </c>
      <c r="I31" s="174">
        <f t="shared" si="3"/>
        <v>4.9209251245819541E-2</v>
      </c>
      <c r="J31" s="20"/>
      <c r="K31" s="54"/>
      <c r="L31" s="54"/>
      <c r="M31" s="55" t="s">
        <v>90</v>
      </c>
      <c r="N31" s="70">
        <f t="shared" ref="N31:O33" si="4">D31</f>
        <v>56.62233599999999</v>
      </c>
      <c r="O31" s="70">
        <f t="shared" si="4"/>
        <v>49.31051149796582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1" t="s">
        <v>14</v>
      </c>
      <c r="D32" s="172">
        <f>'Resumen (G)'!E43</f>
        <v>157.52374</v>
      </c>
      <c r="E32" s="173">
        <f>'Resumen (G)'!F43</f>
        <v>159.68750474499998</v>
      </c>
      <c r="F32" s="174">
        <f t="shared" si="2"/>
        <v>1.3736118409834575E-2</v>
      </c>
      <c r="G32" s="255">
        <f>'Resumen (G)'!H43</f>
        <v>1665.9623609999999</v>
      </c>
      <c r="H32" s="173">
        <f>'Resumen (G)'!I43</f>
        <v>1657.4344494375</v>
      </c>
      <c r="I32" s="174">
        <f t="shared" si="3"/>
        <v>-5.1189101039359475E-3</v>
      </c>
      <c r="J32" s="20"/>
      <c r="K32" s="54"/>
      <c r="L32" s="54"/>
      <c r="M32" s="55" t="s">
        <v>14</v>
      </c>
      <c r="N32" s="70">
        <f t="shared" si="4"/>
        <v>157.52374</v>
      </c>
      <c r="O32" s="70">
        <f t="shared" si="4"/>
        <v>159.68750474499998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1" t="s">
        <v>5</v>
      </c>
      <c r="D33" s="172">
        <f>'Resumen (G)'!E44</f>
        <v>81.518369000000007</v>
      </c>
      <c r="E33" s="173">
        <f>'Resumen (G)'!F44</f>
        <v>76.365946742499986</v>
      </c>
      <c r="F33" s="362">
        <f t="shared" si="2"/>
        <v>-6.3205659297477124E-2</v>
      </c>
      <c r="G33" s="255">
        <f>'Resumen (G)'!H44</f>
        <v>704.4135329999998</v>
      </c>
      <c r="H33" s="173">
        <f>'Resumen (G)'!I44</f>
        <v>728.43002241999989</v>
      </c>
      <c r="I33" s="174">
        <f t="shared" si="3"/>
        <v>3.409430440343364E-2</v>
      </c>
      <c r="J33" s="20"/>
      <c r="K33" s="54"/>
      <c r="L33" s="54"/>
      <c r="M33" s="55" t="s">
        <v>5</v>
      </c>
      <c r="N33" s="70">
        <f t="shared" si="4"/>
        <v>81.518369000000007</v>
      </c>
      <c r="O33" s="70">
        <f t="shared" si="4"/>
        <v>76.365946742499986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5" t="s">
        <v>4</v>
      </c>
      <c r="D34" s="367">
        <v>0.20499999999999999</v>
      </c>
      <c r="E34" s="358">
        <v>0.2202744913157052</v>
      </c>
      <c r="F34" s="176">
        <f t="shared" si="2"/>
        <v>7.4509713735147365E-2</v>
      </c>
      <c r="G34" s="361">
        <v>2.4540000000000002</v>
      </c>
      <c r="H34" s="358">
        <v>2.4373256033157054</v>
      </c>
      <c r="I34" s="176">
        <f t="shared" si="3"/>
        <v>-6.7947826749367168E-3</v>
      </c>
      <c r="J34" s="20"/>
      <c r="K34" s="54"/>
      <c r="L34" s="54"/>
      <c r="M34" s="97"/>
      <c r="N34" s="98">
        <f>SUM(N27:N33)</f>
        <v>4657.5648501104488</v>
      </c>
      <c r="O34" s="98">
        <f>SUM(O27:O33)</f>
        <v>4799.6550450095574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6" t="s">
        <v>108</v>
      </c>
      <c r="D35" s="307">
        <f>SUM(D28:D34)</f>
        <v>4657.5648501104488</v>
      </c>
      <c r="E35" s="308">
        <f>SUM(E28:E34)</f>
        <v>4799.6550450095574</v>
      </c>
      <c r="F35" s="309">
        <f t="shared" si="2"/>
        <v>3.0507400212739677E-2</v>
      </c>
      <c r="G35" s="310">
        <f>SUM(G28:G34)</f>
        <v>47841.571387779346</v>
      </c>
      <c r="H35" s="308">
        <f>SUM(H28:H34)</f>
        <v>52381.524574268275</v>
      </c>
      <c r="I35" s="311">
        <f t="shared" si="3"/>
        <v>9.48955699989531E-2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7"/>
      <c r="D36" s="177"/>
      <c r="E36" s="178"/>
      <c r="F36" s="179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0"/>
      <c r="N39" s="230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0">
        <f t="shared" ref="M40:N46" si="5">N27/N$34</f>
        <v>0.3975818753539504</v>
      </c>
      <c r="N40" s="230">
        <f t="shared" si="5"/>
        <v>0.51919576877948537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0">
        <f t="shared" si="5"/>
        <v>0.52074666076683496</v>
      </c>
      <c r="N41" s="230">
        <f t="shared" si="5"/>
        <v>0.40572552071708062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0">
        <f t="shared" si="5"/>
        <v>1.8146971033348159E-2</v>
      </c>
      <c r="N42" s="230">
        <f t="shared" si="5"/>
        <v>1.5577718286562618E-2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0">
        <f t="shared" si="5"/>
        <v>4.4014416674228089E-5</v>
      </c>
      <c r="N43" s="230">
        <f t="shared" si="5"/>
        <v>4.5893817211871438E-5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0">
        <f t="shared" si="5"/>
        <v>1.215706873059583E-2</v>
      </c>
      <c r="N44" s="230">
        <f t="shared" si="5"/>
        <v>1.0273761559017963E-2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0">
        <f t="shared" si="5"/>
        <v>3.3821051358257422E-2</v>
      </c>
      <c r="N45" s="230">
        <f t="shared" si="5"/>
        <v>3.3270621169126539E-2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0">
        <f t="shared" si="5"/>
        <v>1.7502358340338919E-2</v>
      </c>
      <c r="N46" s="230">
        <f t="shared" si="5"/>
        <v>1.5910715671515082E-2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0">
        <f>N34/N$34</f>
        <v>1</v>
      </c>
      <c r="N47" s="230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1">
        <f>SUM(M39:M46)</f>
        <v>1</v>
      </c>
      <c r="N49" s="231">
        <f>SUM(N39:N46)</f>
        <v>0.99999999999999989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8" t="s">
        <v>91</v>
      </c>
      <c r="D53" s="390" t="s">
        <v>126</v>
      </c>
      <c r="E53" s="390"/>
      <c r="F53" s="391" t="s">
        <v>74</v>
      </c>
      <c r="G53" s="393" t="s">
        <v>127</v>
      </c>
      <c r="H53" s="394"/>
      <c r="I53" s="391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9"/>
      <c r="D54" s="95">
        <v>2020</v>
      </c>
      <c r="E54" s="96">
        <v>2021</v>
      </c>
      <c r="F54" s="392"/>
      <c r="G54" s="241">
        <v>2020</v>
      </c>
      <c r="H54" s="96">
        <v>2021</v>
      </c>
      <c r="I54" s="392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9" t="s">
        <v>42</v>
      </c>
      <c r="D55" s="290">
        <f>SUM(D28:D30,D34)</f>
        <v>4361.9004051104484</v>
      </c>
      <c r="E55" s="291">
        <f>SUM(E28:E30,E34)</f>
        <v>4514.2910820240913</v>
      </c>
      <c r="F55" s="292">
        <f>+E55/D55-1</f>
        <v>3.4936762135857169E-2</v>
      </c>
      <c r="G55" s="293">
        <f>SUM(G28:G30,G34)</f>
        <v>44990.62697877935</v>
      </c>
      <c r="H55" s="291">
        <f>SUM(H28:H30,H34)</f>
        <v>49491.443170615305</v>
      </c>
      <c r="I55" s="292">
        <f>+H55/G55-1</f>
        <v>0.10003897465040534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4" t="s">
        <v>104</v>
      </c>
      <c r="D56" s="295">
        <f>SUM(D31:D33)</f>
        <v>295.664445</v>
      </c>
      <c r="E56" s="296">
        <f>SUM(E31:E33)</f>
        <v>285.36396298546578</v>
      </c>
      <c r="F56" s="297">
        <f>+E56/D56-1</f>
        <v>-3.4838419663663744E-2</v>
      </c>
      <c r="G56" s="298">
        <f>SUM(G31:G33)</f>
        <v>2850.9444089999997</v>
      </c>
      <c r="H56" s="296">
        <f>SUM(H31:H33)</f>
        <v>2890.0814036529655</v>
      </c>
      <c r="I56" s="299">
        <f>+H56/G56-1</f>
        <v>1.3727729846087611E-2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4657.5648501104488</v>
      </c>
      <c r="E57" s="101">
        <f>SUM(E55:E56)</f>
        <v>4799.6550450095574</v>
      </c>
      <c r="F57" s="102">
        <f>+E57/D57-1</f>
        <v>3.0507400212739677E-2</v>
      </c>
      <c r="G57" s="256">
        <f>SUM(G55:G56)</f>
        <v>47841.571387779346</v>
      </c>
      <c r="H57" s="101">
        <f>SUM(H55:H56)</f>
        <v>52381.524574268267</v>
      </c>
      <c r="I57" s="102">
        <f>+H57/G57-1</f>
        <v>9.4895569998952878E-2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5" t="s">
        <v>8</v>
      </c>
      <c r="D58" s="103">
        <f>+D56/D57</f>
        <v>6.3480478429192175E-2</v>
      </c>
      <c r="E58" s="104">
        <f>+E56/E57</f>
        <v>5.9455098399659581E-2</v>
      </c>
      <c r="F58" s="105"/>
      <c r="G58" s="257">
        <f>+G56/G57</f>
        <v>5.9591362204466494E-2</v>
      </c>
      <c r="H58" s="104">
        <f>+H56/H57</f>
        <v>5.5173678642272274E-2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5" t="s">
        <v>105</v>
      </c>
      <c r="D59" s="123"/>
      <c r="E59" s="123"/>
      <c r="F59" s="124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4361.9004051104484</v>
      </c>
      <c r="N63" s="76">
        <f>E55</f>
        <v>4514.2910820240913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295.664445</v>
      </c>
      <c r="N64" s="76">
        <f>E56</f>
        <v>285.36396298546578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5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1"/>
      <c r="D76" s="390" t="s">
        <v>126</v>
      </c>
      <c r="E76" s="390"/>
      <c r="F76" s="106" t="s">
        <v>74</v>
      </c>
      <c r="G76" s="393" t="s">
        <v>127</v>
      </c>
      <c r="H76" s="394"/>
      <c r="I76" s="228" t="s">
        <v>74</v>
      </c>
      <c r="J76" s="19"/>
      <c r="K76" s="57"/>
      <c r="L76" s="57"/>
      <c r="M76" s="55" t="s">
        <v>96</v>
      </c>
      <c r="N76" s="70">
        <f>D78</f>
        <v>2.6355494825000005</v>
      </c>
      <c r="O76" s="70">
        <f>E78</f>
        <v>1.1155591199999997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6" t="s">
        <v>95</v>
      </c>
      <c r="D77" s="127">
        <v>2020</v>
      </c>
      <c r="E77" s="233">
        <v>2021</v>
      </c>
      <c r="F77" s="107"/>
      <c r="G77" s="350">
        <v>2020</v>
      </c>
      <c r="H77" s="96">
        <v>2021</v>
      </c>
      <c r="I77" s="229"/>
      <c r="J77" s="19"/>
      <c r="K77" s="57"/>
      <c r="L77" s="57"/>
      <c r="M77" s="55" t="s">
        <v>97</v>
      </c>
      <c r="N77" s="70">
        <f>D79</f>
        <v>4495.7816349474997</v>
      </c>
      <c r="O77" s="70">
        <f>E79</f>
        <v>4651.7564353030739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6" t="s">
        <v>96</v>
      </c>
      <c r="D78" s="157">
        <v>2.6355494825000005</v>
      </c>
      <c r="E78" s="405">
        <v>1.1155591199999997</v>
      </c>
      <c r="F78" s="159">
        <f>((E78/D78)-1)</f>
        <v>-0.57672617137060356</v>
      </c>
      <c r="G78" s="364">
        <v>42.49809197750001</v>
      </c>
      <c r="H78" s="363">
        <v>28.288706177499993</v>
      </c>
      <c r="I78" s="159">
        <f>((H78/G78)-1)</f>
        <v>-0.33435350009414466</v>
      </c>
      <c r="J78" s="19"/>
      <c r="K78" s="260"/>
      <c r="L78" s="57"/>
    </row>
    <row r="79" spans="2:28" ht="16.5" customHeight="1" thickBot="1">
      <c r="C79" s="300" t="s">
        <v>97</v>
      </c>
      <c r="D79" s="161">
        <f>'Resumen (G)'!E40-D78</f>
        <v>4495.7816349474997</v>
      </c>
      <c r="E79" s="332">
        <f>'Resumen (G)'!F40-E78</f>
        <v>4651.7564353030739</v>
      </c>
      <c r="F79" s="163">
        <f>((E79/D79)-1)</f>
        <v>3.4693589017562587E-2</v>
      </c>
      <c r="G79" s="238">
        <f>'Resumen (G)'!H40-G78</f>
        <v>45909.138718604787</v>
      </c>
      <c r="H79" s="332">
        <f>'Resumen (G)'!I40-H78</f>
        <v>50658.206968943072</v>
      </c>
      <c r="I79" s="163">
        <f>((H79/G79)-1)</f>
        <v>0.10344494327038456</v>
      </c>
      <c r="J79" s="19"/>
      <c r="K79" s="57"/>
      <c r="L79" s="57"/>
      <c r="M79" s="70"/>
      <c r="N79" s="70"/>
      <c r="O79" s="70"/>
    </row>
    <row r="80" spans="2:28" ht="14.4" thickTop="1" thickBot="1">
      <c r="C80" s="128" t="s">
        <v>94</v>
      </c>
      <c r="D80" s="232">
        <f>SUM(D78:D79)</f>
        <v>4498.4171844299999</v>
      </c>
      <c r="E80" s="333">
        <f>SUM(E78:E79)</f>
        <v>4652.8719944230743</v>
      </c>
      <c r="F80" s="129"/>
      <c r="G80" s="258">
        <f>SUM(G78:G79)</f>
        <v>45951.636810582284</v>
      </c>
      <c r="H80" s="333">
        <f>SUM(H78:H79)</f>
        <v>50686.495675120575</v>
      </c>
      <c r="I80" s="129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topLeftCell="A31" zoomScale="90" zoomScaleNormal="100" zoomScaleSheetLayoutView="90" workbookViewId="0">
      <selection activeCell="C54" sqref="C54:H60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8" t="s">
        <v>44</v>
      </c>
      <c r="D8" s="402" t="s">
        <v>126</v>
      </c>
      <c r="E8" s="403"/>
      <c r="F8" s="391" t="s">
        <v>74</v>
      </c>
      <c r="G8" s="393" t="s">
        <v>127</v>
      </c>
      <c r="H8" s="394"/>
      <c r="I8" s="391" t="s">
        <v>74</v>
      </c>
      <c r="J8" s="26"/>
    </row>
    <row r="9" spans="2:13" s="1" customFormat="1" ht="13.5" customHeight="1">
      <c r="B9" s="19"/>
      <c r="C9" s="209"/>
      <c r="D9" s="110">
        <v>2020</v>
      </c>
      <c r="E9" s="96">
        <v>2021</v>
      </c>
      <c r="F9" s="392"/>
      <c r="G9" s="241">
        <v>2020</v>
      </c>
      <c r="H9" s="96">
        <v>2021</v>
      </c>
      <c r="I9" s="392"/>
      <c r="J9" s="26"/>
    </row>
    <row r="10" spans="2:13">
      <c r="C10" s="196" t="s">
        <v>10</v>
      </c>
      <c r="D10" s="197">
        <f>'Por Región (G)'!O8</f>
        <v>248.78291654166017</v>
      </c>
      <c r="E10" s="198">
        <f>'Por Región (G)'!P8</f>
        <v>368.46774620113922</v>
      </c>
      <c r="F10" s="199">
        <f>+E10/D10-1</f>
        <v>0.48108138341338691</v>
      </c>
      <c r="G10" s="345">
        <f>'Por Región (G)'!Q8</f>
        <v>3033.2713965963508</v>
      </c>
      <c r="H10" s="198">
        <f>'Por Región (G)'!R8</f>
        <v>3481.3430601929672</v>
      </c>
      <c r="I10" s="199">
        <f>+H10/G10-1</f>
        <v>0.14771894928340412</v>
      </c>
      <c r="J10" s="26"/>
      <c r="L10" s="145" t="s">
        <v>9</v>
      </c>
      <c r="M10" s="234">
        <f>E11</f>
        <v>3896.3325828587986</v>
      </c>
    </row>
    <row r="11" spans="2:13">
      <c r="C11" s="200" t="s">
        <v>9</v>
      </c>
      <c r="D11" s="201">
        <f>'Por Región (G)'!O9</f>
        <v>3823.0257490579347</v>
      </c>
      <c r="E11" s="202">
        <f>'Por Región (G)'!P9</f>
        <v>3896.3325828587986</v>
      </c>
      <c r="F11" s="203">
        <f>+E11/D11-1</f>
        <v>1.9175082411863942E-2</v>
      </c>
      <c r="G11" s="346">
        <f>'Por Región (G)'!Q9</f>
        <v>38117.174602443883</v>
      </c>
      <c r="H11" s="202">
        <f>'Por Región (G)'!R9</f>
        <v>42251.073904322431</v>
      </c>
      <c r="I11" s="203">
        <f>+H11/G11-1</f>
        <v>0.10845240616584162</v>
      </c>
      <c r="J11" s="26"/>
      <c r="L11" s="145" t="s">
        <v>12</v>
      </c>
      <c r="M11" s="234">
        <f>E12</f>
        <v>499.9746563096179</v>
      </c>
    </row>
    <row r="12" spans="2:13">
      <c r="C12" s="200" t="s">
        <v>12</v>
      </c>
      <c r="D12" s="201">
        <f>'Por Región (G)'!O10</f>
        <v>551.75130575628327</v>
      </c>
      <c r="E12" s="202">
        <f>'Por Región (G)'!P10</f>
        <v>499.9746563096179</v>
      </c>
      <c r="F12" s="203">
        <f>+E12/D12-1</f>
        <v>-9.3840556255132657E-2</v>
      </c>
      <c r="G12" s="346">
        <f>'Por Región (G)'!Q10</f>
        <v>6223.4855107955937</v>
      </c>
      <c r="H12" s="202">
        <f>'Por Región (G)'!R10</f>
        <v>6274.9608560835313</v>
      </c>
      <c r="I12" s="203">
        <f>+H12/G12-1</f>
        <v>8.2711440717015972E-3</v>
      </c>
      <c r="J12" s="26"/>
      <c r="L12" s="145" t="s">
        <v>10</v>
      </c>
      <c r="M12" s="234">
        <f>E10</f>
        <v>368.46774620113922</v>
      </c>
    </row>
    <row r="13" spans="2:13">
      <c r="C13" s="204" t="s">
        <v>11</v>
      </c>
      <c r="D13" s="205">
        <f>'Por Región (G)'!O11</f>
        <v>34.004878754570491</v>
      </c>
      <c r="E13" s="206">
        <f>'Por Región (G)'!P11</f>
        <v>34.880059640000006</v>
      </c>
      <c r="F13" s="207">
        <f>+E13/D13-1</f>
        <v>2.5736921214926767E-2</v>
      </c>
      <c r="G13" s="347">
        <f>'Por Región (G)'!Q11</f>
        <v>467.63987794353051</v>
      </c>
      <c r="H13" s="206">
        <f>'Por Región (G)'!R11</f>
        <v>374.14675366933329</v>
      </c>
      <c r="I13" s="207">
        <f>+H13/G13-1</f>
        <v>-0.19992547403215022</v>
      </c>
      <c r="J13" s="26"/>
      <c r="L13" s="145" t="s">
        <v>11</v>
      </c>
      <c r="M13" s="234">
        <f>E13</f>
        <v>34.880059640000006</v>
      </c>
    </row>
    <row r="14" spans="2:13" ht="13.8" thickBot="1">
      <c r="C14" s="210" t="s">
        <v>108</v>
      </c>
      <c r="D14" s="211">
        <f>SUM(D10:D13)</f>
        <v>4657.5648501104488</v>
      </c>
      <c r="E14" s="212">
        <f>SUM(E10:E13)</f>
        <v>4799.6550450095556</v>
      </c>
      <c r="F14" s="213">
        <f>+E14/D14-1</f>
        <v>3.0507400212739233E-2</v>
      </c>
      <c r="G14" s="348">
        <f>SUM(G10:G13)</f>
        <v>47841.571387779361</v>
      </c>
      <c r="H14" s="212">
        <f>SUM(H10:H13)</f>
        <v>52381.52457426826</v>
      </c>
      <c r="I14" s="213">
        <f>+H14/G14-1</f>
        <v>9.4895569998952434E-2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9" t="s">
        <v>93</v>
      </c>
      <c r="D18" s="399"/>
      <c r="E18" s="399"/>
      <c r="F18" s="399"/>
      <c r="G18" s="400" t="s">
        <v>107</v>
      </c>
      <c r="H18" s="401"/>
      <c r="I18" s="401"/>
      <c r="J18" s="401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0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4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5" t="s">
        <v>13</v>
      </c>
      <c r="D54" s="397" t="s">
        <v>131</v>
      </c>
      <c r="E54" s="398"/>
      <c r="F54" s="398"/>
      <c r="G54" s="398"/>
      <c r="H54" s="398"/>
      <c r="I54" s="19"/>
      <c r="J54" s="19"/>
    </row>
    <row r="55" spans="3:13">
      <c r="C55" s="396"/>
      <c r="D55" s="113" t="s">
        <v>14</v>
      </c>
      <c r="E55" s="114" t="s">
        <v>15</v>
      </c>
      <c r="F55" s="114" t="s">
        <v>5</v>
      </c>
      <c r="G55" s="114" t="s">
        <v>16</v>
      </c>
      <c r="H55" s="114" t="s">
        <v>71</v>
      </c>
      <c r="I55" s="19"/>
      <c r="J55" s="19"/>
    </row>
    <row r="56" spans="3:13">
      <c r="C56" s="215" t="s">
        <v>10</v>
      </c>
      <c r="D56" s="341">
        <f>'Resumen (G)'!F14-'PorZona (G)'!D58</f>
        <v>86.009677504999971</v>
      </c>
      <c r="E56" s="219">
        <v>132.44948541151683</v>
      </c>
      <c r="F56" s="219">
        <v>0</v>
      </c>
      <c r="G56" s="219">
        <v>150.00858328462243</v>
      </c>
      <c r="H56" s="219">
        <f>SUM(D56:G56)</f>
        <v>368.46774620113922</v>
      </c>
      <c r="I56" s="336"/>
      <c r="K56" s="312"/>
      <c r="L56" s="325"/>
      <c r="M56" s="325"/>
    </row>
    <row r="57" spans="3:13">
      <c r="C57" s="216" t="s">
        <v>9</v>
      </c>
      <c r="D57" s="342">
        <v>0</v>
      </c>
      <c r="E57" s="220">
        <v>2025.0709807184257</v>
      </c>
      <c r="F57" s="343">
        <v>6.4619999999999999E-3</v>
      </c>
      <c r="G57" s="220">
        <v>1871.2551401403728</v>
      </c>
      <c r="H57" s="220">
        <f>SUM(D57:G57)</f>
        <v>3896.3325828587986</v>
      </c>
      <c r="I57" s="336"/>
      <c r="K57" s="312"/>
      <c r="L57" s="325"/>
      <c r="M57" s="325"/>
    </row>
    <row r="58" spans="3:13">
      <c r="C58" s="216" t="s">
        <v>12</v>
      </c>
      <c r="D58" s="342">
        <v>73.677827240000013</v>
      </c>
      <c r="E58" s="220">
        <v>334.44012484012973</v>
      </c>
      <c r="F58" s="220">
        <f>'Resumen (G)'!D15</f>
        <v>76.365946742499986</v>
      </c>
      <c r="G58" s="220">
        <v>15.490757486988173</v>
      </c>
      <c r="H58" s="220">
        <f>SUM(D58:G58)</f>
        <v>499.9746563096179</v>
      </c>
      <c r="I58" s="336"/>
      <c r="K58" s="312"/>
      <c r="L58" s="325"/>
      <c r="M58" s="325"/>
    </row>
    <row r="59" spans="3:13">
      <c r="C59" s="217" t="s">
        <v>11</v>
      </c>
      <c r="D59" s="344">
        <v>0</v>
      </c>
      <c r="E59" s="221">
        <v>0</v>
      </c>
      <c r="F59" s="221">
        <v>0</v>
      </c>
      <c r="G59" s="221">
        <f>E13</f>
        <v>34.880059640000006</v>
      </c>
      <c r="H59" s="221">
        <f>SUM(D59:G59)</f>
        <v>34.880059640000006</v>
      </c>
      <c r="I59" s="336"/>
      <c r="K59" s="19"/>
      <c r="L59" s="325"/>
      <c r="M59" s="325"/>
    </row>
    <row r="60" spans="3:13" ht="13.8" thickBot="1">
      <c r="C60" s="115" t="s">
        <v>108</v>
      </c>
      <c r="D60" s="222">
        <f>SUM(D56:D59)</f>
        <v>159.68750474499998</v>
      </c>
      <c r="E60" s="223">
        <f>SUM(E56:E59)</f>
        <v>2491.9605909700722</v>
      </c>
      <c r="F60" s="223">
        <f>SUM(F56:F59)</f>
        <v>76.372408742499985</v>
      </c>
      <c r="G60" s="223">
        <f>SUM(G56:G59)</f>
        <v>2071.6345405519833</v>
      </c>
      <c r="H60" s="223">
        <f>SUM(H56:H59)</f>
        <v>4799.6550450095556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39"/>
      <c r="H64" s="122"/>
    </row>
    <row r="65" spans="5:5">
      <c r="E65" s="122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topLeftCell="A5" zoomScale="70" zoomScaleNormal="100" zoomScaleSheetLayoutView="70" workbookViewId="0">
      <selection activeCell="C6" sqref="C6:I3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8" t="s">
        <v>60</v>
      </c>
      <c r="D6" s="402" t="s">
        <v>126</v>
      </c>
      <c r="E6" s="403"/>
      <c r="F6" s="391" t="s">
        <v>74</v>
      </c>
      <c r="G6" s="393" t="s">
        <v>127</v>
      </c>
      <c r="H6" s="394"/>
      <c r="I6" s="391" t="s">
        <v>74</v>
      </c>
      <c r="O6" s="47"/>
      <c r="P6" s="86"/>
      <c r="Q6" s="404" t="s">
        <v>116</v>
      </c>
      <c r="R6" s="404"/>
    </row>
    <row r="7" spans="3:19" ht="12.75" customHeight="1">
      <c r="C7" s="109"/>
      <c r="D7" s="110">
        <v>2020</v>
      </c>
      <c r="E7" s="96">
        <v>2021</v>
      </c>
      <c r="F7" s="392"/>
      <c r="G7" s="241">
        <v>2020</v>
      </c>
      <c r="H7" s="96">
        <v>2021</v>
      </c>
      <c r="I7" s="392"/>
      <c r="N7" s="54"/>
      <c r="O7" s="322">
        <v>2020</v>
      </c>
      <c r="P7" s="324">
        <v>2021</v>
      </c>
      <c r="Q7" s="54">
        <v>2020</v>
      </c>
      <c r="R7" s="54">
        <v>2021</v>
      </c>
    </row>
    <row r="8" spans="3:19" ht="20.100000000000001" customHeight="1">
      <c r="C8" s="117" t="s">
        <v>17</v>
      </c>
      <c r="D8" s="359">
        <v>3.0830183505281674</v>
      </c>
      <c r="E8" s="360">
        <v>4.5038409440000002</v>
      </c>
      <c r="F8" s="225">
        <f>+E8/D8-1</f>
        <v>0.46085440692509172</v>
      </c>
      <c r="G8" s="355">
        <v>33.873403895481871</v>
      </c>
      <c r="H8" s="356">
        <v>45.12341366399999</v>
      </c>
      <c r="I8" s="225">
        <f>+H8/G8-1</f>
        <v>0.33211925802410058</v>
      </c>
      <c r="J8" s="26"/>
      <c r="K8" s="46"/>
      <c r="L8" s="46"/>
      <c r="N8" s="57" t="s">
        <v>10</v>
      </c>
      <c r="O8" s="71">
        <f>SUM(D8,D13,D20,D21,D27,D29,D31)</f>
        <v>248.78291654166017</v>
      </c>
      <c r="P8" s="71">
        <f t="shared" ref="P8" si="0">SUM(E8,E13,E20,E21,E27,E29,E31)</f>
        <v>368.46774620113922</v>
      </c>
      <c r="Q8" s="71">
        <f>SUM(G8,G13,G20,G21,G27,G29,G31)</f>
        <v>3033.2713965963508</v>
      </c>
      <c r="R8" s="71">
        <f>SUM(H8,H13,H20,H21,H27,H29,H31)</f>
        <v>3481.3430601929672</v>
      </c>
    </row>
    <row r="9" spans="3:19" ht="20.100000000000001" customHeight="1">
      <c r="C9" s="118" t="s">
        <v>18</v>
      </c>
      <c r="D9" s="224">
        <v>143.98583840249998</v>
      </c>
      <c r="E9" s="286">
        <v>218.00846611820006</v>
      </c>
      <c r="F9" s="226">
        <f t="shared" ref="F9:F32" si="1">+E9/D9-1</f>
        <v>0.51409658433752514</v>
      </c>
      <c r="G9" s="242">
        <v>1907.438174571947</v>
      </c>
      <c r="H9" s="286">
        <v>2101.5724627787467</v>
      </c>
      <c r="I9" s="301">
        <f t="shared" ref="I9:I32" si="2">+H9/G9-1</f>
        <v>0.10177749968245542</v>
      </c>
      <c r="J9" s="26"/>
      <c r="K9" s="46"/>
      <c r="L9" s="46"/>
      <c r="N9" s="57" t="s">
        <v>9</v>
      </c>
      <c r="O9" s="322">
        <f>SUM(D9,D14,D16,D17,D19,D22,D26,D32)</f>
        <v>3823.0257490579347</v>
      </c>
      <c r="P9" s="322">
        <f>SUM(E9,E14,E16,E17,E19,E22,E26,E32)</f>
        <v>3896.3325828587986</v>
      </c>
      <c r="Q9" s="322">
        <f>SUM(G9,G14,G16,G17,G19,G22,G26,G32)</f>
        <v>38117.174602443883</v>
      </c>
      <c r="R9" s="322">
        <f>SUM(H9,H14,H16,H17,H19,H22,H26,H32)</f>
        <v>42251.073904322431</v>
      </c>
    </row>
    <row r="10" spans="3:19" ht="20.100000000000001" customHeight="1">
      <c r="C10" s="119" t="s">
        <v>19</v>
      </c>
      <c r="D10" s="352">
        <v>2.0863860000000001</v>
      </c>
      <c r="E10" s="317">
        <v>3.0658134000000001</v>
      </c>
      <c r="F10" s="226">
        <f t="shared" si="1"/>
        <v>0.46943729492049879</v>
      </c>
      <c r="G10" s="242">
        <v>41.061625175149572</v>
      </c>
      <c r="H10" s="286">
        <v>40.896687399999998</v>
      </c>
      <c r="I10" s="226">
        <f t="shared" si="2"/>
        <v>-4.0168350484430793E-3</v>
      </c>
      <c r="J10" s="26"/>
      <c r="K10" s="46"/>
      <c r="L10" s="46"/>
      <c r="N10" s="54" t="s">
        <v>12</v>
      </c>
      <c r="O10" s="322">
        <f>SUM(D10,D11,D12,D15,D18,D24,D25,D28,D30)</f>
        <v>551.75130575628327</v>
      </c>
      <c r="P10" s="322">
        <f t="shared" ref="P10" si="3">SUM(E10,E11,E12,E15,E18,E24,E25,E28,E30)</f>
        <v>499.9746563096179</v>
      </c>
      <c r="Q10" s="322">
        <f>SUM(G10,G11,G12,G15,G18,G24,G25,G28,G30)</f>
        <v>6223.4855107955937</v>
      </c>
      <c r="R10" s="322">
        <f>SUM(H10,H11,H12,H15,H18,H24,H25,H28,H30)</f>
        <v>6274.9608560835313</v>
      </c>
    </row>
    <row r="11" spans="3:19" ht="20.100000000000001" customHeight="1">
      <c r="C11" s="118" t="s">
        <v>20</v>
      </c>
      <c r="D11" s="224">
        <v>90.861372657116505</v>
      </c>
      <c r="E11" s="286">
        <v>98.388631587951295</v>
      </c>
      <c r="F11" s="301">
        <f t="shared" si="1"/>
        <v>8.2843332768484546E-2</v>
      </c>
      <c r="G11" s="242">
        <v>1151.2030040929978</v>
      </c>
      <c r="H11" s="286">
        <v>1116.9586495628944</v>
      </c>
      <c r="I11" s="226">
        <f t="shared" si="2"/>
        <v>-2.9746581974118169E-2</v>
      </c>
      <c r="J11" s="26"/>
      <c r="K11" s="46"/>
      <c r="L11" s="46"/>
      <c r="N11" s="323" t="s">
        <v>11</v>
      </c>
      <c r="O11" s="71">
        <f>D23</f>
        <v>34.004878754570491</v>
      </c>
      <c r="P11" s="71">
        <f t="shared" ref="P11" si="4">E23</f>
        <v>34.880059640000006</v>
      </c>
      <c r="Q11" s="71">
        <f>G23</f>
        <v>467.63987794353051</v>
      </c>
      <c r="R11" s="71">
        <f>H23</f>
        <v>374.14675366933329</v>
      </c>
    </row>
    <row r="12" spans="3:19" ht="20.100000000000001" customHeight="1">
      <c r="C12" s="118" t="s">
        <v>21</v>
      </c>
      <c r="D12" s="352">
        <v>0.98607600000000006</v>
      </c>
      <c r="E12" s="317">
        <v>0.77914433333333344</v>
      </c>
      <c r="F12" s="226">
        <f t="shared" si="1"/>
        <v>-0.20985366915599468</v>
      </c>
      <c r="G12" s="351">
        <v>10.460181733612194</v>
      </c>
      <c r="H12" s="317">
        <v>9.2212423333333327</v>
      </c>
      <c r="I12" s="226">
        <f t="shared" si="2"/>
        <v>-0.11844339150415706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24">
        <v>35.369479598708864</v>
      </c>
      <c r="E13" s="286">
        <v>127.24438996199993</v>
      </c>
      <c r="F13" s="226">
        <f t="shared" si="1"/>
        <v>2.5975759724393823</v>
      </c>
      <c r="G13" s="242">
        <v>909.24170471931268</v>
      </c>
      <c r="H13" s="286">
        <v>1299.9409508904951</v>
      </c>
      <c r="I13" s="226">
        <f t="shared" si="2"/>
        <v>0.429697894567862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24">
        <v>338.32342546531083</v>
      </c>
      <c r="E14" s="286">
        <v>327.57502533947718</v>
      </c>
      <c r="F14" s="226">
        <f t="shared" si="1"/>
        <v>-3.1769600674416587E-2</v>
      </c>
      <c r="G14" s="242">
        <v>2452.3441341184184</v>
      </c>
      <c r="H14" s="286">
        <v>2889.147184430085</v>
      </c>
      <c r="I14" s="226">
        <f t="shared" si="2"/>
        <v>0.1781165392877011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24">
        <v>160.08812406666667</v>
      </c>
      <c r="E15" s="286">
        <v>174.50307981166662</v>
      </c>
      <c r="F15" s="226">
        <f t="shared" si="1"/>
        <v>9.0043879451026765E-2</v>
      </c>
      <c r="G15" s="242">
        <v>1753.6235313613336</v>
      </c>
      <c r="H15" s="286">
        <v>1854.0006087256363</v>
      </c>
      <c r="I15" s="349">
        <f t="shared" si="2"/>
        <v>5.7239809781966411E-2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24">
        <v>634.05702960047688</v>
      </c>
      <c r="E16" s="286">
        <v>716.50062914510681</v>
      </c>
      <c r="F16" s="226">
        <f t="shared" si="1"/>
        <v>0.13002552719363147</v>
      </c>
      <c r="G16" s="242">
        <v>9260.1331337897682</v>
      </c>
      <c r="H16" s="286">
        <v>9293.4884445267871</v>
      </c>
      <c r="I16" s="301">
        <f t="shared" si="2"/>
        <v>3.6020336052520197E-3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24">
        <v>72.944063133333344</v>
      </c>
      <c r="E17" s="286">
        <v>235.33598337463272</v>
      </c>
      <c r="F17" s="226">
        <f t="shared" si="1"/>
        <v>2.2262527375869596</v>
      </c>
      <c r="G17" s="242">
        <v>1939.0653519946661</v>
      </c>
      <c r="H17" s="286">
        <v>2133.5123971219764</v>
      </c>
      <c r="I17" s="301">
        <f t="shared" si="2"/>
        <v>0.10027874765916867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24">
        <v>148.97000506666666</v>
      </c>
      <c r="E18" s="286">
        <v>112.84369068916666</v>
      </c>
      <c r="F18" s="226">
        <f t="shared" si="1"/>
        <v>-0.24250730448275704</v>
      </c>
      <c r="G18" s="242">
        <v>1528.3509537333332</v>
      </c>
      <c r="H18" s="286">
        <v>1535.2440070233336</v>
      </c>
      <c r="I18" s="226">
        <f t="shared" si="2"/>
        <v>4.5101246367285075E-3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24">
        <v>136.51687575416665</v>
      </c>
      <c r="E19" s="286">
        <v>279.75802855403606</v>
      </c>
      <c r="F19" s="226">
        <f t="shared" si="1"/>
        <v>1.0492560132844786</v>
      </c>
      <c r="G19" s="242">
        <v>2514.0855799808337</v>
      </c>
      <c r="H19" s="286">
        <v>2788.2755717251243</v>
      </c>
      <c r="I19" s="301">
        <f t="shared" si="2"/>
        <v>0.10906151879936443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24">
        <v>68.943230465133951</v>
      </c>
      <c r="E20" s="286">
        <v>101.11677757763397</v>
      </c>
      <c r="F20" s="301">
        <f t="shared" si="1"/>
        <v>0.4666672405026171</v>
      </c>
      <c r="G20" s="242">
        <v>717.56676140875527</v>
      </c>
      <c r="H20" s="286">
        <v>667.58340351091351</v>
      </c>
      <c r="I20" s="226">
        <f t="shared" si="2"/>
        <v>-6.965673521403426E-2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52">
        <v>4.6135122666666675</v>
      </c>
      <c r="E21" s="317">
        <v>5.005027079166668</v>
      </c>
      <c r="F21" s="226">
        <f t="shared" si="1"/>
        <v>8.4862636072034592E-2</v>
      </c>
      <c r="G21" s="242">
        <v>54.374711183333346</v>
      </c>
      <c r="H21" s="286">
        <v>56.518117360833344</v>
      </c>
      <c r="I21" s="226">
        <f t="shared" si="2"/>
        <v>3.9419173561642484E-2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24">
        <v>2417.5600023688135</v>
      </c>
      <c r="E22" s="286">
        <v>2031.7689733146619</v>
      </c>
      <c r="F22" s="226">
        <f t="shared" si="1"/>
        <v>-0.15957867795468961</v>
      </c>
      <c r="G22" s="242">
        <v>19160.888400321586</v>
      </c>
      <c r="H22" s="286">
        <v>22015.011548873797</v>
      </c>
      <c r="I22" s="226">
        <f t="shared" si="2"/>
        <v>0.14895567934649145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352">
        <v>34.004878754570491</v>
      </c>
      <c r="E23" s="317">
        <v>34.880059640000006</v>
      </c>
      <c r="F23" s="226">
        <f t="shared" si="1"/>
        <v>2.5736921214926767E-2</v>
      </c>
      <c r="G23" s="242">
        <v>467.63987794353051</v>
      </c>
      <c r="H23" s="286">
        <v>374.14675366933329</v>
      </c>
      <c r="I23" s="226">
        <f t="shared" si="2"/>
        <v>-0.19992547403215022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65">
        <v>0.69035099999999994</v>
      </c>
      <c r="E24" s="366">
        <v>0.1903307025</v>
      </c>
      <c r="F24" s="226">
        <f t="shared" si="1"/>
        <v>-0.72429865025182838</v>
      </c>
      <c r="G24" s="242">
        <v>6.199643</v>
      </c>
      <c r="H24" s="286">
        <v>1.8720403825</v>
      </c>
      <c r="I24" s="301">
        <f t="shared" si="2"/>
        <v>-0.69804061580642629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24">
        <v>76.192981333333336</v>
      </c>
      <c r="E25" s="286">
        <v>69.105008874999996</v>
      </c>
      <c r="F25" s="226">
        <f t="shared" si="1"/>
        <v>-9.3026579801681164E-2</v>
      </c>
      <c r="G25" s="242">
        <v>644.00842566666654</v>
      </c>
      <c r="H25" s="286">
        <v>681.22242354333332</v>
      </c>
      <c r="I25" s="226">
        <f t="shared" si="2"/>
        <v>5.778495496878544E-2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24">
        <v>33.608050000000006</v>
      </c>
      <c r="E26" s="286">
        <v>81.179088894350016</v>
      </c>
      <c r="F26" s="226">
        <f t="shared" si="1"/>
        <v>1.415465607030161</v>
      </c>
      <c r="G26" s="242">
        <v>792.27013299999987</v>
      </c>
      <c r="H26" s="286">
        <v>794.40384979175008</v>
      </c>
      <c r="I26" s="226">
        <f t="shared" si="2"/>
        <v>2.6931682804585133E-3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24">
        <v>132.53126386062252</v>
      </c>
      <c r="E27" s="286">
        <v>126.09716263833866</v>
      </c>
      <c r="F27" s="226">
        <f t="shared" si="1"/>
        <v>-4.854779947658483E-2</v>
      </c>
      <c r="G27" s="242">
        <v>1263.9916253894676</v>
      </c>
      <c r="H27" s="286">
        <v>1358.1898237667251</v>
      </c>
      <c r="I27" s="226">
        <f t="shared" si="2"/>
        <v>7.4524384881294425E-2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24">
        <v>57.4541966325</v>
      </c>
      <c r="E28" s="286">
        <v>28.364133530000011</v>
      </c>
      <c r="F28" s="226">
        <f t="shared" si="1"/>
        <v>-0.50631746343216077</v>
      </c>
      <c r="G28" s="242">
        <v>944.22531503250002</v>
      </c>
      <c r="H28" s="286">
        <v>891.96323138749995</v>
      </c>
      <c r="I28" s="226">
        <f t="shared" si="2"/>
        <v>-5.5349165938429867E-2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352">
        <v>3.141864</v>
      </c>
      <c r="E29" s="317">
        <v>3.4</v>
      </c>
      <c r="F29" s="226">
        <f t="shared" si="1"/>
        <v>8.2160144423819803E-2</v>
      </c>
      <c r="G29" s="242">
        <v>42.117161999999993</v>
      </c>
      <c r="H29" s="286">
        <v>41.881322999999995</v>
      </c>
      <c r="I29" s="301">
        <f t="shared" si="2"/>
        <v>-5.5995938187857197E-3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24">
        <v>14.421813</v>
      </c>
      <c r="E30" s="286">
        <v>12.734823379999996</v>
      </c>
      <c r="F30" s="349">
        <f t="shared" si="1"/>
        <v>-0.11697486439465021</v>
      </c>
      <c r="G30" s="242">
        <v>144.35283100000001</v>
      </c>
      <c r="H30" s="286">
        <v>143.581965725</v>
      </c>
      <c r="I30" s="226">
        <f t="shared" si="2"/>
        <v>-5.3401465676832238E-3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224">
        <v>1.1005480000000003</v>
      </c>
      <c r="E31" s="286">
        <v>1.1005480000000003</v>
      </c>
      <c r="F31" s="301">
        <f>+E31/D31-1</f>
        <v>0</v>
      </c>
      <c r="G31" s="242">
        <v>12.106028000000006</v>
      </c>
      <c r="H31" s="286">
        <v>12.106028000000006</v>
      </c>
      <c r="I31" s="226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8">
        <v>46.030464333333327</v>
      </c>
      <c r="E32" s="287">
        <v>6.2063881183333329</v>
      </c>
      <c r="F32" s="227">
        <f t="shared" si="1"/>
        <v>-0.86516781422430866</v>
      </c>
      <c r="G32" s="243">
        <v>90.949694666666645</v>
      </c>
      <c r="H32" s="287">
        <v>235.6624450741667</v>
      </c>
      <c r="I32" s="227">
        <f t="shared" si="2"/>
        <v>1.5911295902408096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4" t="s">
        <v>108</v>
      </c>
      <c r="D33" s="111">
        <f>SUM(D8:D32)</f>
        <v>4657.5648501104488</v>
      </c>
      <c r="E33" s="288">
        <f>SUM(E8:E32)</f>
        <v>4799.6550450095547</v>
      </c>
      <c r="F33" s="116">
        <f>+E33/D33-1</f>
        <v>3.0507400212739233E-2</v>
      </c>
      <c r="G33" s="244">
        <f>SUM(G8:G32)</f>
        <v>47841.571387779361</v>
      </c>
      <c r="H33" s="288">
        <f>SUM(H8:H32)</f>
        <v>52381.524574268267</v>
      </c>
      <c r="I33" s="245">
        <f>+H33/G33-1</f>
        <v>9.4895569998952656E-2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3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2031.7689733146619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716.50062914510681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327.57502533947718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279.75802855403606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25</v>
      </c>
      <c r="O48" s="53">
        <v>235.33598337463272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18</v>
      </c>
      <c r="O49" s="53">
        <v>218.00846611820006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23</v>
      </c>
      <c r="O50" s="52">
        <v>174.50307981166662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127.24438996199993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35</v>
      </c>
      <c r="O52" s="53">
        <v>126.09716263833866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112.84369068916666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28</v>
      </c>
      <c r="O54" s="53">
        <v>101.11677757763397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20</v>
      </c>
      <c r="O55" s="52">
        <v>98.388631587951295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81.179088894350016</v>
      </c>
      <c r="P56" s="8"/>
      <c r="S56" s="91"/>
    </row>
    <row r="57" spans="3:19">
      <c r="N57" s="51" t="s">
        <v>33</v>
      </c>
      <c r="O57" s="52">
        <v>69.105008874999996</v>
      </c>
      <c r="S57" s="91"/>
    </row>
    <row r="58" spans="3:19">
      <c r="N58" s="51" t="s">
        <v>31</v>
      </c>
      <c r="O58" s="52">
        <v>34.880059640000006</v>
      </c>
      <c r="S58" s="121"/>
    </row>
    <row r="59" spans="3:19">
      <c r="N59" s="51" t="s">
        <v>36</v>
      </c>
      <c r="O59" s="52">
        <v>28.364133530000011</v>
      </c>
      <c r="S59" s="91"/>
    </row>
    <row r="60" spans="3:19">
      <c r="N60" s="51" t="s">
        <v>38</v>
      </c>
      <c r="O60" s="52">
        <v>12.734823379999996</v>
      </c>
      <c r="S60" s="91"/>
    </row>
    <row r="61" spans="3:19">
      <c r="N61" s="51" t="s">
        <v>40</v>
      </c>
      <c r="O61" s="52">
        <v>6.2063881183333329</v>
      </c>
      <c r="S61" s="91"/>
    </row>
    <row r="62" spans="3:19">
      <c r="N62" s="51" t="s">
        <v>29</v>
      </c>
      <c r="O62" s="52">
        <v>5.005027079166668</v>
      </c>
      <c r="S62" s="91"/>
    </row>
    <row r="63" spans="3:19">
      <c r="N63" s="50" t="s">
        <v>17</v>
      </c>
      <c r="O63" s="53">
        <v>4.5038409440000002</v>
      </c>
      <c r="S63" s="91"/>
    </row>
    <row r="64" spans="3:19">
      <c r="N64" s="50" t="s">
        <v>37</v>
      </c>
      <c r="O64" s="53">
        <v>3.4</v>
      </c>
      <c r="S64" s="91"/>
    </row>
    <row r="65" spans="6:19">
      <c r="N65" s="50" t="s">
        <v>19</v>
      </c>
      <c r="O65" s="53">
        <v>3.0658134000000001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0.77914433333333344</v>
      </c>
      <c r="S67" s="91"/>
    </row>
    <row r="68" spans="6:19">
      <c r="N68" s="9" t="s">
        <v>32</v>
      </c>
      <c r="O68" s="52">
        <v>0.1903307025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2021-12-16T04:53:47Z</dcterms:modified>
</cp:coreProperties>
</file>